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6F2EF"/>
      </patternFill>
    </fill>
    <fill>
      <patternFill patternType="solid">
        <fgColor rgb="000F5D4E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0" fontId="0" fillId="2" borderId="1" pivotButton="0" quotePrefix="0" xfId="0"/>
    <xf numFmtId="1" fontId="0" fillId="2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0" borderId="1" pivotButton="0" quotePrefix="0" xfId="0"/>
    <xf numFmtId="0" fontId="5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>
      <c r="A1" s="1" t="inlineStr">
        <is>
          <t>Business Loan Payment Calculator</t>
        </is>
      </c>
    </row>
    <row r="2">
      <c r="A2" s="2" t="inlineStr">
        <is>
          <t>Enter the loan details to see the payment and full amortization schedule.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Loan amount</t>
        </is>
      </c>
      <c r="B5" s="5" t="n">
        <v>75000</v>
      </c>
    </row>
    <row r="6">
      <c r="A6" s="4" t="inlineStr">
        <is>
          <t>Annual interest rate</t>
        </is>
      </c>
      <c r="B6" s="6" t="n">
        <v>0.095</v>
      </c>
    </row>
    <row r="7">
      <c r="A7" s="4" t="inlineStr">
        <is>
          <t>Term (years, up to 30)</t>
        </is>
      </c>
      <c r="B7" s="7" t="n">
        <v>7</v>
      </c>
    </row>
    <row r="8">
      <c r="A8" s="8" t="inlineStr">
        <is>
          <t>Monthly payment</t>
        </is>
      </c>
      <c r="B8" s="9">
        <f>IF(B6=0,B5/(B7*12),-PMT(B6/12,B7*12,B5))</f>
        <v/>
      </c>
    </row>
    <row r="9">
      <c r="A9" s="4" t="inlineStr">
        <is>
          <t>Total of payments</t>
        </is>
      </c>
      <c r="B9" s="10">
        <f>B8*B7*12</f>
        <v/>
      </c>
    </row>
    <row r="10">
      <c r="A10" s="4" t="inlineStr">
        <is>
          <t>Total interest</t>
        </is>
      </c>
      <c r="B10" s="10">
        <f>B9-B5</f>
        <v/>
      </c>
    </row>
    <row r="12">
      <c r="A12" s="11" t="inlineStr">
        <is>
          <t>Payment #</t>
        </is>
      </c>
      <c r="B12" s="11" t="inlineStr">
        <is>
          <t>Beginning balance</t>
        </is>
      </c>
      <c r="C12" s="11" t="inlineStr">
        <is>
          <t>Payment</t>
        </is>
      </c>
      <c r="D12" s="11" t="inlineStr">
        <is>
          <t>Interest</t>
        </is>
      </c>
      <c r="E12" s="11" t="inlineStr">
        <is>
          <t>Principal</t>
        </is>
      </c>
      <c r="F12" s="11" t="inlineStr">
        <is>
          <t>Ending balance</t>
        </is>
      </c>
    </row>
    <row r="13">
      <c r="A13" s="4">
        <f>IF(1&lt;=$B$7*12,1,"")</f>
        <v/>
      </c>
      <c r="B13" s="10">
        <f>IF(1&lt;=$B$7*12,$B$5,"")</f>
        <v/>
      </c>
      <c r="C13" s="10">
        <f>IF(1&lt;=$B$7*12,$B$8,"")</f>
        <v/>
      </c>
      <c r="D13" s="10">
        <f>IF(1&lt;=$B$7*12,B13*$B$6/12,"")</f>
        <v/>
      </c>
      <c r="E13" s="10">
        <f>IF(1&lt;=$B$7*12,C13-D13,"")</f>
        <v/>
      </c>
      <c r="F13" s="10">
        <f>IF(1&lt;=$B$7*12,MAX(0,B13-E13),"")</f>
        <v/>
      </c>
    </row>
    <row r="14">
      <c r="A14" s="4">
        <f>IF(2&lt;=$B$7*12,2,"")</f>
        <v/>
      </c>
      <c r="B14" s="10">
        <f>IF(2&lt;=$B$7*12,F13,"")</f>
        <v/>
      </c>
      <c r="C14" s="10">
        <f>IF(2&lt;=$B$7*12,$B$8,"")</f>
        <v/>
      </c>
      <c r="D14" s="10">
        <f>IF(2&lt;=$B$7*12,B14*$B$6/12,"")</f>
        <v/>
      </c>
      <c r="E14" s="10">
        <f>IF(2&lt;=$B$7*12,C14-D14,"")</f>
        <v/>
      </c>
      <c r="F14" s="10">
        <f>IF(2&lt;=$B$7*12,MAX(0,B14-E14),"")</f>
        <v/>
      </c>
    </row>
    <row r="15">
      <c r="A15" s="4">
        <f>IF(3&lt;=$B$7*12,3,"")</f>
        <v/>
      </c>
      <c r="B15" s="10">
        <f>IF(3&lt;=$B$7*12,F14,"")</f>
        <v/>
      </c>
      <c r="C15" s="10">
        <f>IF(3&lt;=$B$7*12,$B$8,"")</f>
        <v/>
      </c>
      <c r="D15" s="10">
        <f>IF(3&lt;=$B$7*12,B15*$B$6/12,"")</f>
        <v/>
      </c>
      <c r="E15" s="10">
        <f>IF(3&lt;=$B$7*12,C15-D15,"")</f>
        <v/>
      </c>
      <c r="F15" s="10">
        <f>IF(3&lt;=$B$7*12,MAX(0,B15-E15),"")</f>
        <v/>
      </c>
    </row>
    <row r="16">
      <c r="A16" s="4">
        <f>IF(4&lt;=$B$7*12,4,"")</f>
        <v/>
      </c>
      <c r="B16" s="10">
        <f>IF(4&lt;=$B$7*12,F15,"")</f>
        <v/>
      </c>
      <c r="C16" s="10">
        <f>IF(4&lt;=$B$7*12,$B$8,"")</f>
        <v/>
      </c>
      <c r="D16" s="10">
        <f>IF(4&lt;=$B$7*12,B16*$B$6/12,"")</f>
        <v/>
      </c>
      <c r="E16" s="10">
        <f>IF(4&lt;=$B$7*12,C16-D16,"")</f>
        <v/>
      </c>
      <c r="F16" s="10">
        <f>IF(4&lt;=$B$7*12,MAX(0,B16-E16),"")</f>
        <v/>
      </c>
    </row>
    <row r="17">
      <c r="A17" s="4">
        <f>IF(5&lt;=$B$7*12,5,"")</f>
        <v/>
      </c>
      <c r="B17" s="10">
        <f>IF(5&lt;=$B$7*12,F16,"")</f>
        <v/>
      </c>
      <c r="C17" s="10">
        <f>IF(5&lt;=$B$7*12,$B$8,"")</f>
        <v/>
      </c>
      <c r="D17" s="10">
        <f>IF(5&lt;=$B$7*12,B17*$B$6/12,"")</f>
        <v/>
      </c>
      <c r="E17" s="10">
        <f>IF(5&lt;=$B$7*12,C17-D17,"")</f>
        <v/>
      </c>
      <c r="F17" s="10">
        <f>IF(5&lt;=$B$7*12,MAX(0,B17-E17),"")</f>
        <v/>
      </c>
    </row>
    <row r="18">
      <c r="A18" s="4">
        <f>IF(6&lt;=$B$7*12,6,"")</f>
        <v/>
      </c>
      <c r="B18" s="10">
        <f>IF(6&lt;=$B$7*12,F17,"")</f>
        <v/>
      </c>
      <c r="C18" s="10">
        <f>IF(6&lt;=$B$7*12,$B$8,"")</f>
        <v/>
      </c>
      <c r="D18" s="10">
        <f>IF(6&lt;=$B$7*12,B18*$B$6/12,"")</f>
        <v/>
      </c>
      <c r="E18" s="10">
        <f>IF(6&lt;=$B$7*12,C18-D18,"")</f>
        <v/>
      </c>
      <c r="F18" s="10">
        <f>IF(6&lt;=$B$7*12,MAX(0,B18-E18),"")</f>
        <v/>
      </c>
    </row>
    <row r="19">
      <c r="A19" s="4">
        <f>IF(7&lt;=$B$7*12,7,"")</f>
        <v/>
      </c>
      <c r="B19" s="10">
        <f>IF(7&lt;=$B$7*12,F18,"")</f>
        <v/>
      </c>
      <c r="C19" s="10">
        <f>IF(7&lt;=$B$7*12,$B$8,"")</f>
        <v/>
      </c>
      <c r="D19" s="10">
        <f>IF(7&lt;=$B$7*12,B19*$B$6/12,"")</f>
        <v/>
      </c>
      <c r="E19" s="10">
        <f>IF(7&lt;=$B$7*12,C19-D19,"")</f>
        <v/>
      </c>
      <c r="F19" s="10">
        <f>IF(7&lt;=$B$7*12,MAX(0,B19-E19),"")</f>
        <v/>
      </c>
    </row>
    <row r="20">
      <c r="A20" s="4">
        <f>IF(8&lt;=$B$7*12,8,"")</f>
        <v/>
      </c>
      <c r="B20" s="10">
        <f>IF(8&lt;=$B$7*12,F19,"")</f>
        <v/>
      </c>
      <c r="C20" s="10">
        <f>IF(8&lt;=$B$7*12,$B$8,"")</f>
        <v/>
      </c>
      <c r="D20" s="10">
        <f>IF(8&lt;=$B$7*12,B20*$B$6/12,"")</f>
        <v/>
      </c>
      <c r="E20" s="10">
        <f>IF(8&lt;=$B$7*12,C20-D20,"")</f>
        <v/>
      </c>
      <c r="F20" s="10">
        <f>IF(8&lt;=$B$7*12,MAX(0,B20-E20),"")</f>
        <v/>
      </c>
    </row>
    <row r="21">
      <c r="A21" s="4">
        <f>IF(9&lt;=$B$7*12,9,"")</f>
        <v/>
      </c>
      <c r="B21" s="10">
        <f>IF(9&lt;=$B$7*12,F20,"")</f>
        <v/>
      </c>
      <c r="C21" s="10">
        <f>IF(9&lt;=$B$7*12,$B$8,"")</f>
        <v/>
      </c>
      <c r="D21" s="10">
        <f>IF(9&lt;=$B$7*12,B21*$B$6/12,"")</f>
        <v/>
      </c>
      <c r="E21" s="10">
        <f>IF(9&lt;=$B$7*12,C21-D21,"")</f>
        <v/>
      </c>
      <c r="F21" s="10">
        <f>IF(9&lt;=$B$7*12,MAX(0,B21-E21),"")</f>
        <v/>
      </c>
    </row>
    <row r="22">
      <c r="A22" s="4">
        <f>IF(10&lt;=$B$7*12,10,"")</f>
        <v/>
      </c>
      <c r="B22" s="10">
        <f>IF(10&lt;=$B$7*12,F21,"")</f>
        <v/>
      </c>
      <c r="C22" s="10">
        <f>IF(10&lt;=$B$7*12,$B$8,"")</f>
        <v/>
      </c>
      <c r="D22" s="10">
        <f>IF(10&lt;=$B$7*12,B22*$B$6/12,"")</f>
        <v/>
      </c>
      <c r="E22" s="10">
        <f>IF(10&lt;=$B$7*12,C22-D22,"")</f>
        <v/>
      </c>
      <c r="F22" s="10">
        <f>IF(10&lt;=$B$7*12,MAX(0,B22-E22),"")</f>
        <v/>
      </c>
    </row>
    <row r="23">
      <c r="A23" s="4">
        <f>IF(11&lt;=$B$7*12,11,"")</f>
        <v/>
      </c>
      <c r="B23" s="10">
        <f>IF(11&lt;=$B$7*12,F22,"")</f>
        <v/>
      </c>
      <c r="C23" s="10">
        <f>IF(11&lt;=$B$7*12,$B$8,"")</f>
        <v/>
      </c>
      <c r="D23" s="10">
        <f>IF(11&lt;=$B$7*12,B23*$B$6/12,"")</f>
        <v/>
      </c>
      <c r="E23" s="10">
        <f>IF(11&lt;=$B$7*12,C23-D23,"")</f>
        <v/>
      </c>
      <c r="F23" s="10">
        <f>IF(11&lt;=$B$7*12,MAX(0,B23-E23),"")</f>
        <v/>
      </c>
    </row>
    <row r="24">
      <c r="A24" s="4">
        <f>IF(12&lt;=$B$7*12,12,"")</f>
        <v/>
      </c>
      <c r="B24" s="10">
        <f>IF(12&lt;=$B$7*12,F23,"")</f>
        <v/>
      </c>
      <c r="C24" s="10">
        <f>IF(12&lt;=$B$7*12,$B$8,"")</f>
        <v/>
      </c>
      <c r="D24" s="10">
        <f>IF(12&lt;=$B$7*12,B24*$B$6/12,"")</f>
        <v/>
      </c>
      <c r="E24" s="10">
        <f>IF(12&lt;=$B$7*12,C24-D24,"")</f>
        <v/>
      </c>
      <c r="F24" s="10">
        <f>IF(12&lt;=$B$7*12,MAX(0,B24-E24),"")</f>
        <v/>
      </c>
    </row>
    <row r="25">
      <c r="A25" s="4">
        <f>IF(13&lt;=$B$7*12,13,"")</f>
        <v/>
      </c>
      <c r="B25" s="10">
        <f>IF(13&lt;=$B$7*12,F24,"")</f>
        <v/>
      </c>
      <c r="C25" s="10">
        <f>IF(13&lt;=$B$7*12,$B$8,"")</f>
        <v/>
      </c>
      <c r="D25" s="10">
        <f>IF(13&lt;=$B$7*12,B25*$B$6/12,"")</f>
        <v/>
      </c>
      <c r="E25" s="10">
        <f>IF(13&lt;=$B$7*12,C25-D25,"")</f>
        <v/>
      </c>
      <c r="F25" s="10">
        <f>IF(13&lt;=$B$7*12,MAX(0,B25-E25),"")</f>
        <v/>
      </c>
    </row>
    <row r="26">
      <c r="A26" s="4">
        <f>IF(14&lt;=$B$7*12,14,"")</f>
        <v/>
      </c>
      <c r="B26" s="10">
        <f>IF(14&lt;=$B$7*12,F25,"")</f>
        <v/>
      </c>
      <c r="C26" s="10">
        <f>IF(14&lt;=$B$7*12,$B$8,"")</f>
        <v/>
      </c>
      <c r="D26" s="10">
        <f>IF(14&lt;=$B$7*12,B26*$B$6/12,"")</f>
        <v/>
      </c>
      <c r="E26" s="10">
        <f>IF(14&lt;=$B$7*12,C26-D26,"")</f>
        <v/>
      </c>
      <c r="F26" s="10">
        <f>IF(14&lt;=$B$7*12,MAX(0,B26-E26),"")</f>
        <v/>
      </c>
    </row>
    <row r="27">
      <c r="A27" s="4">
        <f>IF(15&lt;=$B$7*12,15,"")</f>
        <v/>
      </c>
      <c r="B27" s="10">
        <f>IF(15&lt;=$B$7*12,F26,"")</f>
        <v/>
      </c>
      <c r="C27" s="10">
        <f>IF(15&lt;=$B$7*12,$B$8,"")</f>
        <v/>
      </c>
      <c r="D27" s="10">
        <f>IF(15&lt;=$B$7*12,B27*$B$6/12,"")</f>
        <v/>
      </c>
      <c r="E27" s="10">
        <f>IF(15&lt;=$B$7*12,C27-D27,"")</f>
        <v/>
      </c>
      <c r="F27" s="10">
        <f>IF(15&lt;=$B$7*12,MAX(0,B27-E27),"")</f>
        <v/>
      </c>
    </row>
    <row r="28">
      <c r="A28" s="4">
        <f>IF(16&lt;=$B$7*12,16,"")</f>
        <v/>
      </c>
      <c r="B28" s="10">
        <f>IF(16&lt;=$B$7*12,F27,"")</f>
        <v/>
      </c>
      <c r="C28" s="10">
        <f>IF(16&lt;=$B$7*12,$B$8,"")</f>
        <v/>
      </c>
      <c r="D28" s="10">
        <f>IF(16&lt;=$B$7*12,B28*$B$6/12,"")</f>
        <v/>
      </c>
      <c r="E28" s="10">
        <f>IF(16&lt;=$B$7*12,C28-D28,"")</f>
        <v/>
      </c>
      <c r="F28" s="10">
        <f>IF(16&lt;=$B$7*12,MAX(0,B28-E28),"")</f>
        <v/>
      </c>
    </row>
    <row r="29">
      <c r="A29" s="4">
        <f>IF(17&lt;=$B$7*12,17,"")</f>
        <v/>
      </c>
      <c r="B29" s="10">
        <f>IF(17&lt;=$B$7*12,F28,"")</f>
        <v/>
      </c>
      <c r="C29" s="10">
        <f>IF(17&lt;=$B$7*12,$B$8,"")</f>
        <v/>
      </c>
      <c r="D29" s="10">
        <f>IF(17&lt;=$B$7*12,B29*$B$6/12,"")</f>
        <v/>
      </c>
      <c r="E29" s="10">
        <f>IF(17&lt;=$B$7*12,C29-D29,"")</f>
        <v/>
      </c>
      <c r="F29" s="10">
        <f>IF(17&lt;=$B$7*12,MAX(0,B29-E29),"")</f>
        <v/>
      </c>
    </row>
    <row r="30">
      <c r="A30" s="4">
        <f>IF(18&lt;=$B$7*12,18,"")</f>
        <v/>
      </c>
      <c r="B30" s="10">
        <f>IF(18&lt;=$B$7*12,F29,"")</f>
        <v/>
      </c>
      <c r="C30" s="10">
        <f>IF(18&lt;=$B$7*12,$B$8,"")</f>
        <v/>
      </c>
      <c r="D30" s="10">
        <f>IF(18&lt;=$B$7*12,B30*$B$6/12,"")</f>
        <v/>
      </c>
      <c r="E30" s="10">
        <f>IF(18&lt;=$B$7*12,C30-D30,"")</f>
        <v/>
      </c>
      <c r="F30" s="10">
        <f>IF(18&lt;=$B$7*12,MAX(0,B30-E30),"")</f>
        <v/>
      </c>
    </row>
    <row r="31">
      <c r="A31" s="4">
        <f>IF(19&lt;=$B$7*12,19,"")</f>
        <v/>
      </c>
      <c r="B31" s="10">
        <f>IF(19&lt;=$B$7*12,F30,"")</f>
        <v/>
      </c>
      <c r="C31" s="10">
        <f>IF(19&lt;=$B$7*12,$B$8,"")</f>
        <v/>
      </c>
      <c r="D31" s="10">
        <f>IF(19&lt;=$B$7*12,B31*$B$6/12,"")</f>
        <v/>
      </c>
      <c r="E31" s="10">
        <f>IF(19&lt;=$B$7*12,C31-D31,"")</f>
        <v/>
      </c>
      <c r="F31" s="10">
        <f>IF(19&lt;=$B$7*12,MAX(0,B31-E31),"")</f>
        <v/>
      </c>
    </row>
    <row r="32">
      <c r="A32" s="4">
        <f>IF(20&lt;=$B$7*12,20,"")</f>
        <v/>
      </c>
      <c r="B32" s="10">
        <f>IF(20&lt;=$B$7*12,F31,"")</f>
        <v/>
      </c>
      <c r="C32" s="10">
        <f>IF(20&lt;=$B$7*12,$B$8,"")</f>
        <v/>
      </c>
      <c r="D32" s="10">
        <f>IF(20&lt;=$B$7*12,B32*$B$6/12,"")</f>
        <v/>
      </c>
      <c r="E32" s="10">
        <f>IF(20&lt;=$B$7*12,C32-D32,"")</f>
        <v/>
      </c>
      <c r="F32" s="10">
        <f>IF(20&lt;=$B$7*12,MAX(0,B32-E32),"")</f>
        <v/>
      </c>
    </row>
    <row r="33">
      <c r="A33" s="4">
        <f>IF(21&lt;=$B$7*12,21,"")</f>
        <v/>
      </c>
      <c r="B33" s="10">
        <f>IF(21&lt;=$B$7*12,F32,"")</f>
        <v/>
      </c>
      <c r="C33" s="10">
        <f>IF(21&lt;=$B$7*12,$B$8,"")</f>
        <v/>
      </c>
      <c r="D33" s="10">
        <f>IF(21&lt;=$B$7*12,B33*$B$6/12,"")</f>
        <v/>
      </c>
      <c r="E33" s="10">
        <f>IF(21&lt;=$B$7*12,C33-D33,"")</f>
        <v/>
      </c>
      <c r="F33" s="10">
        <f>IF(21&lt;=$B$7*12,MAX(0,B33-E33),"")</f>
        <v/>
      </c>
    </row>
    <row r="34">
      <c r="A34" s="4">
        <f>IF(22&lt;=$B$7*12,22,"")</f>
        <v/>
      </c>
      <c r="B34" s="10">
        <f>IF(22&lt;=$B$7*12,F33,"")</f>
        <v/>
      </c>
      <c r="C34" s="10">
        <f>IF(22&lt;=$B$7*12,$B$8,"")</f>
        <v/>
      </c>
      <c r="D34" s="10">
        <f>IF(22&lt;=$B$7*12,B34*$B$6/12,"")</f>
        <v/>
      </c>
      <c r="E34" s="10">
        <f>IF(22&lt;=$B$7*12,C34-D34,"")</f>
        <v/>
      </c>
      <c r="F34" s="10">
        <f>IF(22&lt;=$B$7*12,MAX(0,B34-E34),"")</f>
        <v/>
      </c>
    </row>
    <row r="35">
      <c r="A35" s="4">
        <f>IF(23&lt;=$B$7*12,23,"")</f>
        <v/>
      </c>
      <c r="B35" s="10">
        <f>IF(23&lt;=$B$7*12,F34,"")</f>
        <v/>
      </c>
      <c r="C35" s="10">
        <f>IF(23&lt;=$B$7*12,$B$8,"")</f>
        <v/>
      </c>
      <c r="D35" s="10">
        <f>IF(23&lt;=$B$7*12,B35*$B$6/12,"")</f>
        <v/>
      </c>
      <c r="E35" s="10">
        <f>IF(23&lt;=$B$7*12,C35-D35,"")</f>
        <v/>
      </c>
      <c r="F35" s="10">
        <f>IF(23&lt;=$B$7*12,MAX(0,B35-E35),"")</f>
        <v/>
      </c>
    </row>
    <row r="36">
      <c r="A36" s="4">
        <f>IF(24&lt;=$B$7*12,24,"")</f>
        <v/>
      </c>
      <c r="B36" s="10">
        <f>IF(24&lt;=$B$7*12,F35,"")</f>
        <v/>
      </c>
      <c r="C36" s="10">
        <f>IF(24&lt;=$B$7*12,$B$8,"")</f>
        <v/>
      </c>
      <c r="D36" s="10">
        <f>IF(24&lt;=$B$7*12,B36*$B$6/12,"")</f>
        <v/>
      </c>
      <c r="E36" s="10">
        <f>IF(24&lt;=$B$7*12,C36-D36,"")</f>
        <v/>
      </c>
      <c r="F36" s="10">
        <f>IF(24&lt;=$B$7*12,MAX(0,B36-E36),"")</f>
        <v/>
      </c>
    </row>
    <row r="37">
      <c r="A37" s="4">
        <f>IF(25&lt;=$B$7*12,25,"")</f>
        <v/>
      </c>
      <c r="B37" s="10">
        <f>IF(25&lt;=$B$7*12,F36,"")</f>
        <v/>
      </c>
      <c r="C37" s="10">
        <f>IF(25&lt;=$B$7*12,$B$8,"")</f>
        <v/>
      </c>
      <c r="D37" s="10">
        <f>IF(25&lt;=$B$7*12,B37*$B$6/12,"")</f>
        <v/>
      </c>
      <c r="E37" s="10">
        <f>IF(25&lt;=$B$7*12,C37-D37,"")</f>
        <v/>
      </c>
      <c r="F37" s="10">
        <f>IF(25&lt;=$B$7*12,MAX(0,B37-E37),"")</f>
        <v/>
      </c>
    </row>
    <row r="38">
      <c r="A38" s="4">
        <f>IF(26&lt;=$B$7*12,26,"")</f>
        <v/>
      </c>
      <c r="B38" s="10">
        <f>IF(26&lt;=$B$7*12,F37,"")</f>
        <v/>
      </c>
      <c r="C38" s="10">
        <f>IF(26&lt;=$B$7*12,$B$8,"")</f>
        <v/>
      </c>
      <c r="D38" s="10">
        <f>IF(26&lt;=$B$7*12,B38*$B$6/12,"")</f>
        <v/>
      </c>
      <c r="E38" s="10">
        <f>IF(26&lt;=$B$7*12,C38-D38,"")</f>
        <v/>
      </c>
      <c r="F38" s="10">
        <f>IF(26&lt;=$B$7*12,MAX(0,B38-E38),"")</f>
        <v/>
      </c>
    </row>
    <row r="39">
      <c r="A39" s="4">
        <f>IF(27&lt;=$B$7*12,27,"")</f>
        <v/>
      </c>
      <c r="B39" s="10">
        <f>IF(27&lt;=$B$7*12,F38,"")</f>
        <v/>
      </c>
      <c r="C39" s="10">
        <f>IF(27&lt;=$B$7*12,$B$8,"")</f>
        <v/>
      </c>
      <c r="D39" s="10">
        <f>IF(27&lt;=$B$7*12,B39*$B$6/12,"")</f>
        <v/>
      </c>
      <c r="E39" s="10">
        <f>IF(27&lt;=$B$7*12,C39-D39,"")</f>
        <v/>
      </c>
      <c r="F39" s="10">
        <f>IF(27&lt;=$B$7*12,MAX(0,B39-E39),"")</f>
        <v/>
      </c>
    </row>
    <row r="40">
      <c r="A40" s="4">
        <f>IF(28&lt;=$B$7*12,28,"")</f>
        <v/>
      </c>
      <c r="B40" s="10">
        <f>IF(28&lt;=$B$7*12,F39,"")</f>
        <v/>
      </c>
      <c r="C40" s="10">
        <f>IF(28&lt;=$B$7*12,$B$8,"")</f>
        <v/>
      </c>
      <c r="D40" s="10">
        <f>IF(28&lt;=$B$7*12,B40*$B$6/12,"")</f>
        <v/>
      </c>
      <c r="E40" s="10">
        <f>IF(28&lt;=$B$7*12,C40-D40,"")</f>
        <v/>
      </c>
      <c r="F40" s="10">
        <f>IF(28&lt;=$B$7*12,MAX(0,B40-E40),"")</f>
        <v/>
      </c>
    </row>
    <row r="41">
      <c r="A41" s="4">
        <f>IF(29&lt;=$B$7*12,29,"")</f>
        <v/>
      </c>
      <c r="B41" s="10">
        <f>IF(29&lt;=$B$7*12,F40,"")</f>
        <v/>
      </c>
      <c r="C41" s="10">
        <f>IF(29&lt;=$B$7*12,$B$8,"")</f>
        <v/>
      </c>
      <c r="D41" s="10">
        <f>IF(29&lt;=$B$7*12,B41*$B$6/12,"")</f>
        <v/>
      </c>
      <c r="E41" s="10">
        <f>IF(29&lt;=$B$7*12,C41-D41,"")</f>
        <v/>
      </c>
      <c r="F41" s="10">
        <f>IF(29&lt;=$B$7*12,MAX(0,B41-E41),"")</f>
        <v/>
      </c>
    </row>
    <row r="42">
      <c r="A42" s="4">
        <f>IF(30&lt;=$B$7*12,30,"")</f>
        <v/>
      </c>
      <c r="B42" s="10">
        <f>IF(30&lt;=$B$7*12,F41,"")</f>
        <v/>
      </c>
      <c r="C42" s="10">
        <f>IF(30&lt;=$B$7*12,$B$8,"")</f>
        <v/>
      </c>
      <c r="D42" s="10">
        <f>IF(30&lt;=$B$7*12,B42*$B$6/12,"")</f>
        <v/>
      </c>
      <c r="E42" s="10">
        <f>IF(30&lt;=$B$7*12,C42-D42,"")</f>
        <v/>
      </c>
      <c r="F42" s="10">
        <f>IF(30&lt;=$B$7*12,MAX(0,B42-E42),"")</f>
        <v/>
      </c>
    </row>
    <row r="43">
      <c r="A43" s="4">
        <f>IF(31&lt;=$B$7*12,31,"")</f>
        <v/>
      </c>
      <c r="B43" s="10">
        <f>IF(31&lt;=$B$7*12,F42,"")</f>
        <v/>
      </c>
      <c r="C43" s="10">
        <f>IF(31&lt;=$B$7*12,$B$8,"")</f>
        <v/>
      </c>
      <c r="D43" s="10">
        <f>IF(31&lt;=$B$7*12,B43*$B$6/12,"")</f>
        <v/>
      </c>
      <c r="E43" s="10">
        <f>IF(31&lt;=$B$7*12,C43-D43,"")</f>
        <v/>
      </c>
      <c r="F43" s="10">
        <f>IF(31&lt;=$B$7*12,MAX(0,B43-E43),"")</f>
        <v/>
      </c>
    </row>
    <row r="44">
      <c r="A44" s="4">
        <f>IF(32&lt;=$B$7*12,32,"")</f>
        <v/>
      </c>
      <c r="B44" s="10">
        <f>IF(32&lt;=$B$7*12,F43,"")</f>
        <v/>
      </c>
      <c r="C44" s="10">
        <f>IF(32&lt;=$B$7*12,$B$8,"")</f>
        <v/>
      </c>
      <c r="D44" s="10">
        <f>IF(32&lt;=$B$7*12,B44*$B$6/12,"")</f>
        <v/>
      </c>
      <c r="E44" s="10">
        <f>IF(32&lt;=$B$7*12,C44-D44,"")</f>
        <v/>
      </c>
      <c r="F44" s="10">
        <f>IF(32&lt;=$B$7*12,MAX(0,B44-E44),"")</f>
        <v/>
      </c>
    </row>
    <row r="45">
      <c r="A45" s="4">
        <f>IF(33&lt;=$B$7*12,33,"")</f>
        <v/>
      </c>
      <c r="B45" s="10">
        <f>IF(33&lt;=$B$7*12,F44,"")</f>
        <v/>
      </c>
      <c r="C45" s="10">
        <f>IF(33&lt;=$B$7*12,$B$8,"")</f>
        <v/>
      </c>
      <c r="D45" s="10">
        <f>IF(33&lt;=$B$7*12,B45*$B$6/12,"")</f>
        <v/>
      </c>
      <c r="E45" s="10">
        <f>IF(33&lt;=$B$7*12,C45-D45,"")</f>
        <v/>
      </c>
      <c r="F45" s="10">
        <f>IF(33&lt;=$B$7*12,MAX(0,B45-E45),"")</f>
        <v/>
      </c>
    </row>
    <row r="46">
      <c r="A46" s="4">
        <f>IF(34&lt;=$B$7*12,34,"")</f>
        <v/>
      </c>
      <c r="B46" s="10">
        <f>IF(34&lt;=$B$7*12,F45,"")</f>
        <v/>
      </c>
      <c r="C46" s="10">
        <f>IF(34&lt;=$B$7*12,$B$8,"")</f>
        <v/>
      </c>
      <c r="D46" s="10">
        <f>IF(34&lt;=$B$7*12,B46*$B$6/12,"")</f>
        <v/>
      </c>
      <c r="E46" s="10">
        <f>IF(34&lt;=$B$7*12,C46-D46,"")</f>
        <v/>
      </c>
      <c r="F46" s="10">
        <f>IF(34&lt;=$B$7*12,MAX(0,B46-E46),"")</f>
        <v/>
      </c>
    </row>
    <row r="47">
      <c r="A47" s="4">
        <f>IF(35&lt;=$B$7*12,35,"")</f>
        <v/>
      </c>
      <c r="B47" s="10">
        <f>IF(35&lt;=$B$7*12,F46,"")</f>
        <v/>
      </c>
      <c r="C47" s="10">
        <f>IF(35&lt;=$B$7*12,$B$8,"")</f>
        <v/>
      </c>
      <c r="D47" s="10">
        <f>IF(35&lt;=$B$7*12,B47*$B$6/12,"")</f>
        <v/>
      </c>
      <c r="E47" s="10">
        <f>IF(35&lt;=$B$7*12,C47-D47,"")</f>
        <v/>
      </c>
      <c r="F47" s="10">
        <f>IF(35&lt;=$B$7*12,MAX(0,B47-E47),"")</f>
        <v/>
      </c>
    </row>
    <row r="48">
      <c r="A48" s="4">
        <f>IF(36&lt;=$B$7*12,36,"")</f>
        <v/>
      </c>
      <c r="B48" s="10">
        <f>IF(36&lt;=$B$7*12,F47,"")</f>
        <v/>
      </c>
      <c r="C48" s="10">
        <f>IF(36&lt;=$B$7*12,$B$8,"")</f>
        <v/>
      </c>
      <c r="D48" s="10">
        <f>IF(36&lt;=$B$7*12,B48*$B$6/12,"")</f>
        <v/>
      </c>
      <c r="E48" s="10">
        <f>IF(36&lt;=$B$7*12,C48-D48,"")</f>
        <v/>
      </c>
      <c r="F48" s="10">
        <f>IF(36&lt;=$B$7*12,MAX(0,B48-E48),"")</f>
        <v/>
      </c>
    </row>
    <row r="49">
      <c r="A49" s="4">
        <f>IF(37&lt;=$B$7*12,37,"")</f>
        <v/>
      </c>
      <c r="B49" s="10">
        <f>IF(37&lt;=$B$7*12,F48,"")</f>
        <v/>
      </c>
      <c r="C49" s="10">
        <f>IF(37&lt;=$B$7*12,$B$8,"")</f>
        <v/>
      </c>
      <c r="D49" s="10">
        <f>IF(37&lt;=$B$7*12,B49*$B$6/12,"")</f>
        <v/>
      </c>
      <c r="E49" s="10">
        <f>IF(37&lt;=$B$7*12,C49-D49,"")</f>
        <v/>
      </c>
      <c r="F49" s="10">
        <f>IF(37&lt;=$B$7*12,MAX(0,B49-E49),"")</f>
        <v/>
      </c>
    </row>
    <row r="50">
      <c r="A50" s="4">
        <f>IF(38&lt;=$B$7*12,38,"")</f>
        <v/>
      </c>
      <c r="B50" s="10">
        <f>IF(38&lt;=$B$7*12,F49,"")</f>
        <v/>
      </c>
      <c r="C50" s="10">
        <f>IF(38&lt;=$B$7*12,$B$8,"")</f>
        <v/>
      </c>
      <c r="D50" s="10">
        <f>IF(38&lt;=$B$7*12,B50*$B$6/12,"")</f>
        <v/>
      </c>
      <c r="E50" s="10">
        <f>IF(38&lt;=$B$7*12,C50-D50,"")</f>
        <v/>
      </c>
      <c r="F50" s="10">
        <f>IF(38&lt;=$B$7*12,MAX(0,B50-E50),"")</f>
        <v/>
      </c>
    </row>
    <row r="51">
      <c r="A51" s="4">
        <f>IF(39&lt;=$B$7*12,39,"")</f>
        <v/>
      </c>
      <c r="B51" s="10">
        <f>IF(39&lt;=$B$7*12,F50,"")</f>
        <v/>
      </c>
      <c r="C51" s="10">
        <f>IF(39&lt;=$B$7*12,$B$8,"")</f>
        <v/>
      </c>
      <c r="D51" s="10">
        <f>IF(39&lt;=$B$7*12,B51*$B$6/12,"")</f>
        <v/>
      </c>
      <c r="E51" s="10">
        <f>IF(39&lt;=$B$7*12,C51-D51,"")</f>
        <v/>
      </c>
      <c r="F51" s="10">
        <f>IF(39&lt;=$B$7*12,MAX(0,B51-E51),"")</f>
        <v/>
      </c>
    </row>
    <row r="52">
      <c r="A52" s="4">
        <f>IF(40&lt;=$B$7*12,40,"")</f>
        <v/>
      </c>
      <c r="B52" s="10">
        <f>IF(40&lt;=$B$7*12,F51,"")</f>
        <v/>
      </c>
      <c r="C52" s="10">
        <f>IF(40&lt;=$B$7*12,$B$8,"")</f>
        <v/>
      </c>
      <c r="D52" s="10">
        <f>IF(40&lt;=$B$7*12,B52*$B$6/12,"")</f>
        <v/>
      </c>
      <c r="E52" s="10">
        <f>IF(40&lt;=$B$7*12,C52-D52,"")</f>
        <v/>
      </c>
      <c r="F52" s="10">
        <f>IF(40&lt;=$B$7*12,MAX(0,B52-E52),"")</f>
        <v/>
      </c>
    </row>
    <row r="53">
      <c r="A53" s="4">
        <f>IF(41&lt;=$B$7*12,41,"")</f>
        <v/>
      </c>
      <c r="B53" s="10">
        <f>IF(41&lt;=$B$7*12,F52,"")</f>
        <v/>
      </c>
      <c r="C53" s="10">
        <f>IF(41&lt;=$B$7*12,$B$8,"")</f>
        <v/>
      </c>
      <c r="D53" s="10">
        <f>IF(41&lt;=$B$7*12,B53*$B$6/12,"")</f>
        <v/>
      </c>
      <c r="E53" s="10">
        <f>IF(41&lt;=$B$7*12,C53-D53,"")</f>
        <v/>
      </c>
      <c r="F53" s="10">
        <f>IF(41&lt;=$B$7*12,MAX(0,B53-E53),"")</f>
        <v/>
      </c>
    </row>
    <row r="54">
      <c r="A54" s="4">
        <f>IF(42&lt;=$B$7*12,42,"")</f>
        <v/>
      </c>
      <c r="B54" s="10">
        <f>IF(42&lt;=$B$7*12,F53,"")</f>
        <v/>
      </c>
      <c r="C54" s="10">
        <f>IF(42&lt;=$B$7*12,$B$8,"")</f>
        <v/>
      </c>
      <c r="D54" s="10">
        <f>IF(42&lt;=$B$7*12,B54*$B$6/12,"")</f>
        <v/>
      </c>
      <c r="E54" s="10">
        <f>IF(42&lt;=$B$7*12,C54-D54,"")</f>
        <v/>
      </c>
      <c r="F54" s="10">
        <f>IF(42&lt;=$B$7*12,MAX(0,B54-E54),"")</f>
        <v/>
      </c>
    </row>
    <row r="55">
      <c r="A55" s="4">
        <f>IF(43&lt;=$B$7*12,43,"")</f>
        <v/>
      </c>
      <c r="B55" s="10">
        <f>IF(43&lt;=$B$7*12,F54,"")</f>
        <v/>
      </c>
      <c r="C55" s="10">
        <f>IF(43&lt;=$B$7*12,$B$8,"")</f>
        <v/>
      </c>
      <c r="D55" s="10">
        <f>IF(43&lt;=$B$7*12,B55*$B$6/12,"")</f>
        <v/>
      </c>
      <c r="E55" s="10">
        <f>IF(43&lt;=$B$7*12,C55-D55,"")</f>
        <v/>
      </c>
      <c r="F55" s="10">
        <f>IF(43&lt;=$B$7*12,MAX(0,B55-E55),"")</f>
        <v/>
      </c>
    </row>
    <row r="56">
      <c r="A56" s="4">
        <f>IF(44&lt;=$B$7*12,44,"")</f>
        <v/>
      </c>
      <c r="B56" s="10">
        <f>IF(44&lt;=$B$7*12,F55,"")</f>
        <v/>
      </c>
      <c r="C56" s="10">
        <f>IF(44&lt;=$B$7*12,$B$8,"")</f>
        <v/>
      </c>
      <c r="D56" s="10">
        <f>IF(44&lt;=$B$7*12,B56*$B$6/12,"")</f>
        <v/>
      </c>
      <c r="E56" s="10">
        <f>IF(44&lt;=$B$7*12,C56-D56,"")</f>
        <v/>
      </c>
      <c r="F56" s="10">
        <f>IF(44&lt;=$B$7*12,MAX(0,B56-E56),"")</f>
        <v/>
      </c>
    </row>
    <row r="57">
      <c r="A57" s="4">
        <f>IF(45&lt;=$B$7*12,45,"")</f>
        <v/>
      </c>
      <c r="B57" s="10">
        <f>IF(45&lt;=$B$7*12,F56,"")</f>
        <v/>
      </c>
      <c r="C57" s="10">
        <f>IF(45&lt;=$B$7*12,$B$8,"")</f>
        <v/>
      </c>
      <c r="D57" s="10">
        <f>IF(45&lt;=$B$7*12,B57*$B$6/12,"")</f>
        <v/>
      </c>
      <c r="E57" s="10">
        <f>IF(45&lt;=$B$7*12,C57-D57,"")</f>
        <v/>
      </c>
      <c r="F57" s="10">
        <f>IF(45&lt;=$B$7*12,MAX(0,B57-E57),"")</f>
        <v/>
      </c>
    </row>
    <row r="58">
      <c r="A58" s="4">
        <f>IF(46&lt;=$B$7*12,46,"")</f>
        <v/>
      </c>
      <c r="B58" s="10">
        <f>IF(46&lt;=$B$7*12,F57,"")</f>
        <v/>
      </c>
      <c r="C58" s="10">
        <f>IF(46&lt;=$B$7*12,$B$8,"")</f>
        <v/>
      </c>
      <c r="D58" s="10">
        <f>IF(46&lt;=$B$7*12,B58*$B$6/12,"")</f>
        <v/>
      </c>
      <c r="E58" s="10">
        <f>IF(46&lt;=$B$7*12,C58-D58,"")</f>
        <v/>
      </c>
      <c r="F58" s="10">
        <f>IF(46&lt;=$B$7*12,MAX(0,B58-E58),"")</f>
        <v/>
      </c>
    </row>
    <row r="59">
      <c r="A59" s="4">
        <f>IF(47&lt;=$B$7*12,47,"")</f>
        <v/>
      </c>
      <c r="B59" s="10">
        <f>IF(47&lt;=$B$7*12,F58,"")</f>
        <v/>
      </c>
      <c r="C59" s="10">
        <f>IF(47&lt;=$B$7*12,$B$8,"")</f>
        <v/>
      </c>
      <c r="D59" s="10">
        <f>IF(47&lt;=$B$7*12,B59*$B$6/12,"")</f>
        <v/>
      </c>
      <c r="E59" s="10">
        <f>IF(47&lt;=$B$7*12,C59-D59,"")</f>
        <v/>
      </c>
      <c r="F59" s="10">
        <f>IF(47&lt;=$B$7*12,MAX(0,B59-E59),"")</f>
        <v/>
      </c>
    </row>
    <row r="60">
      <c r="A60" s="4">
        <f>IF(48&lt;=$B$7*12,48,"")</f>
        <v/>
      </c>
      <c r="B60" s="10">
        <f>IF(48&lt;=$B$7*12,F59,"")</f>
        <v/>
      </c>
      <c r="C60" s="10">
        <f>IF(48&lt;=$B$7*12,$B$8,"")</f>
        <v/>
      </c>
      <c r="D60" s="10">
        <f>IF(48&lt;=$B$7*12,B60*$B$6/12,"")</f>
        <v/>
      </c>
      <c r="E60" s="10">
        <f>IF(48&lt;=$B$7*12,C60-D60,"")</f>
        <v/>
      </c>
      <c r="F60" s="10">
        <f>IF(48&lt;=$B$7*12,MAX(0,B60-E60),"")</f>
        <v/>
      </c>
    </row>
    <row r="61">
      <c r="A61" s="4">
        <f>IF(49&lt;=$B$7*12,49,"")</f>
        <v/>
      </c>
      <c r="B61" s="10">
        <f>IF(49&lt;=$B$7*12,F60,"")</f>
        <v/>
      </c>
      <c r="C61" s="10">
        <f>IF(49&lt;=$B$7*12,$B$8,"")</f>
        <v/>
      </c>
      <c r="D61" s="10">
        <f>IF(49&lt;=$B$7*12,B61*$B$6/12,"")</f>
        <v/>
      </c>
      <c r="E61" s="10">
        <f>IF(49&lt;=$B$7*12,C61-D61,"")</f>
        <v/>
      </c>
      <c r="F61" s="10">
        <f>IF(49&lt;=$B$7*12,MAX(0,B61-E61),"")</f>
        <v/>
      </c>
    </row>
    <row r="62">
      <c r="A62" s="4">
        <f>IF(50&lt;=$B$7*12,50,"")</f>
        <v/>
      </c>
      <c r="B62" s="10">
        <f>IF(50&lt;=$B$7*12,F61,"")</f>
        <v/>
      </c>
      <c r="C62" s="10">
        <f>IF(50&lt;=$B$7*12,$B$8,"")</f>
        <v/>
      </c>
      <c r="D62" s="10">
        <f>IF(50&lt;=$B$7*12,B62*$B$6/12,"")</f>
        <v/>
      </c>
      <c r="E62" s="10">
        <f>IF(50&lt;=$B$7*12,C62-D62,"")</f>
        <v/>
      </c>
      <c r="F62" s="10">
        <f>IF(50&lt;=$B$7*12,MAX(0,B62-E62),"")</f>
        <v/>
      </c>
    </row>
    <row r="63">
      <c r="A63" s="4">
        <f>IF(51&lt;=$B$7*12,51,"")</f>
        <v/>
      </c>
      <c r="B63" s="10">
        <f>IF(51&lt;=$B$7*12,F62,"")</f>
        <v/>
      </c>
      <c r="C63" s="10">
        <f>IF(51&lt;=$B$7*12,$B$8,"")</f>
        <v/>
      </c>
      <c r="D63" s="10">
        <f>IF(51&lt;=$B$7*12,B63*$B$6/12,"")</f>
        <v/>
      </c>
      <c r="E63" s="10">
        <f>IF(51&lt;=$B$7*12,C63-D63,"")</f>
        <v/>
      </c>
      <c r="F63" s="10">
        <f>IF(51&lt;=$B$7*12,MAX(0,B63-E63),"")</f>
        <v/>
      </c>
    </row>
    <row r="64">
      <c r="A64" s="4">
        <f>IF(52&lt;=$B$7*12,52,"")</f>
        <v/>
      </c>
      <c r="B64" s="10">
        <f>IF(52&lt;=$B$7*12,F63,"")</f>
        <v/>
      </c>
      <c r="C64" s="10">
        <f>IF(52&lt;=$B$7*12,$B$8,"")</f>
        <v/>
      </c>
      <c r="D64" s="10">
        <f>IF(52&lt;=$B$7*12,B64*$B$6/12,"")</f>
        <v/>
      </c>
      <c r="E64" s="10">
        <f>IF(52&lt;=$B$7*12,C64-D64,"")</f>
        <v/>
      </c>
      <c r="F64" s="10">
        <f>IF(52&lt;=$B$7*12,MAX(0,B64-E64),"")</f>
        <v/>
      </c>
    </row>
    <row r="65">
      <c r="A65" s="4">
        <f>IF(53&lt;=$B$7*12,53,"")</f>
        <v/>
      </c>
      <c r="B65" s="10">
        <f>IF(53&lt;=$B$7*12,F64,"")</f>
        <v/>
      </c>
      <c r="C65" s="10">
        <f>IF(53&lt;=$B$7*12,$B$8,"")</f>
        <v/>
      </c>
      <c r="D65" s="10">
        <f>IF(53&lt;=$B$7*12,B65*$B$6/12,"")</f>
        <v/>
      </c>
      <c r="E65" s="10">
        <f>IF(53&lt;=$B$7*12,C65-D65,"")</f>
        <v/>
      </c>
      <c r="F65" s="10">
        <f>IF(53&lt;=$B$7*12,MAX(0,B65-E65),"")</f>
        <v/>
      </c>
    </row>
    <row r="66">
      <c r="A66" s="4">
        <f>IF(54&lt;=$B$7*12,54,"")</f>
        <v/>
      </c>
      <c r="B66" s="10">
        <f>IF(54&lt;=$B$7*12,F65,"")</f>
        <v/>
      </c>
      <c r="C66" s="10">
        <f>IF(54&lt;=$B$7*12,$B$8,"")</f>
        <v/>
      </c>
      <c r="D66" s="10">
        <f>IF(54&lt;=$B$7*12,B66*$B$6/12,"")</f>
        <v/>
      </c>
      <c r="E66" s="10">
        <f>IF(54&lt;=$B$7*12,C66-D66,"")</f>
        <v/>
      </c>
      <c r="F66" s="10">
        <f>IF(54&lt;=$B$7*12,MAX(0,B66-E66),"")</f>
        <v/>
      </c>
    </row>
    <row r="67">
      <c r="A67" s="4">
        <f>IF(55&lt;=$B$7*12,55,"")</f>
        <v/>
      </c>
      <c r="B67" s="10">
        <f>IF(55&lt;=$B$7*12,F66,"")</f>
        <v/>
      </c>
      <c r="C67" s="10">
        <f>IF(55&lt;=$B$7*12,$B$8,"")</f>
        <v/>
      </c>
      <c r="D67" s="10">
        <f>IF(55&lt;=$B$7*12,B67*$B$6/12,"")</f>
        <v/>
      </c>
      <c r="E67" s="10">
        <f>IF(55&lt;=$B$7*12,C67-D67,"")</f>
        <v/>
      </c>
      <c r="F67" s="10">
        <f>IF(55&lt;=$B$7*12,MAX(0,B67-E67),"")</f>
        <v/>
      </c>
    </row>
    <row r="68">
      <c r="A68" s="4">
        <f>IF(56&lt;=$B$7*12,56,"")</f>
        <v/>
      </c>
      <c r="B68" s="10">
        <f>IF(56&lt;=$B$7*12,F67,"")</f>
        <v/>
      </c>
      <c r="C68" s="10">
        <f>IF(56&lt;=$B$7*12,$B$8,"")</f>
        <v/>
      </c>
      <c r="D68" s="10">
        <f>IF(56&lt;=$B$7*12,B68*$B$6/12,"")</f>
        <v/>
      </c>
      <c r="E68" s="10">
        <f>IF(56&lt;=$B$7*12,C68-D68,"")</f>
        <v/>
      </c>
      <c r="F68" s="10">
        <f>IF(56&lt;=$B$7*12,MAX(0,B68-E68),"")</f>
        <v/>
      </c>
    </row>
    <row r="69">
      <c r="A69" s="4">
        <f>IF(57&lt;=$B$7*12,57,"")</f>
        <v/>
      </c>
      <c r="B69" s="10">
        <f>IF(57&lt;=$B$7*12,F68,"")</f>
        <v/>
      </c>
      <c r="C69" s="10">
        <f>IF(57&lt;=$B$7*12,$B$8,"")</f>
        <v/>
      </c>
      <c r="D69" s="10">
        <f>IF(57&lt;=$B$7*12,B69*$B$6/12,"")</f>
        <v/>
      </c>
      <c r="E69" s="10">
        <f>IF(57&lt;=$B$7*12,C69-D69,"")</f>
        <v/>
      </c>
      <c r="F69" s="10">
        <f>IF(57&lt;=$B$7*12,MAX(0,B69-E69),"")</f>
        <v/>
      </c>
    </row>
    <row r="70">
      <c r="A70" s="4">
        <f>IF(58&lt;=$B$7*12,58,"")</f>
        <v/>
      </c>
      <c r="B70" s="10">
        <f>IF(58&lt;=$B$7*12,F69,"")</f>
        <v/>
      </c>
      <c r="C70" s="10">
        <f>IF(58&lt;=$B$7*12,$B$8,"")</f>
        <v/>
      </c>
      <c r="D70" s="10">
        <f>IF(58&lt;=$B$7*12,B70*$B$6/12,"")</f>
        <v/>
      </c>
      <c r="E70" s="10">
        <f>IF(58&lt;=$B$7*12,C70-D70,"")</f>
        <v/>
      </c>
      <c r="F70" s="10">
        <f>IF(58&lt;=$B$7*12,MAX(0,B70-E70),"")</f>
        <v/>
      </c>
    </row>
    <row r="71">
      <c r="A71" s="4">
        <f>IF(59&lt;=$B$7*12,59,"")</f>
        <v/>
      </c>
      <c r="B71" s="10">
        <f>IF(59&lt;=$B$7*12,F70,"")</f>
        <v/>
      </c>
      <c r="C71" s="10">
        <f>IF(59&lt;=$B$7*12,$B$8,"")</f>
        <v/>
      </c>
      <c r="D71" s="10">
        <f>IF(59&lt;=$B$7*12,B71*$B$6/12,"")</f>
        <v/>
      </c>
      <c r="E71" s="10">
        <f>IF(59&lt;=$B$7*12,C71-D71,"")</f>
        <v/>
      </c>
      <c r="F71" s="10">
        <f>IF(59&lt;=$B$7*12,MAX(0,B71-E71),"")</f>
        <v/>
      </c>
    </row>
    <row r="72">
      <c r="A72" s="4">
        <f>IF(60&lt;=$B$7*12,60,"")</f>
        <v/>
      </c>
      <c r="B72" s="10">
        <f>IF(60&lt;=$B$7*12,F71,"")</f>
        <v/>
      </c>
      <c r="C72" s="10">
        <f>IF(60&lt;=$B$7*12,$B$8,"")</f>
        <v/>
      </c>
      <c r="D72" s="10">
        <f>IF(60&lt;=$B$7*12,B72*$B$6/12,"")</f>
        <v/>
      </c>
      <c r="E72" s="10">
        <f>IF(60&lt;=$B$7*12,C72-D72,"")</f>
        <v/>
      </c>
      <c r="F72" s="10">
        <f>IF(60&lt;=$B$7*12,MAX(0,B72-E72),"")</f>
        <v/>
      </c>
    </row>
    <row r="73">
      <c r="A73" s="4">
        <f>IF(61&lt;=$B$7*12,61,"")</f>
        <v/>
      </c>
      <c r="B73" s="10">
        <f>IF(61&lt;=$B$7*12,F72,"")</f>
        <v/>
      </c>
      <c r="C73" s="10">
        <f>IF(61&lt;=$B$7*12,$B$8,"")</f>
        <v/>
      </c>
      <c r="D73" s="10">
        <f>IF(61&lt;=$B$7*12,B73*$B$6/12,"")</f>
        <v/>
      </c>
      <c r="E73" s="10">
        <f>IF(61&lt;=$B$7*12,C73-D73,"")</f>
        <v/>
      </c>
      <c r="F73" s="10">
        <f>IF(61&lt;=$B$7*12,MAX(0,B73-E73),"")</f>
        <v/>
      </c>
    </row>
    <row r="74">
      <c r="A74" s="4">
        <f>IF(62&lt;=$B$7*12,62,"")</f>
        <v/>
      </c>
      <c r="B74" s="10">
        <f>IF(62&lt;=$B$7*12,F73,"")</f>
        <v/>
      </c>
      <c r="C74" s="10">
        <f>IF(62&lt;=$B$7*12,$B$8,"")</f>
        <v/>
      </c>
      <c r="D74" s="10">
        <f>IF(62&lt;=$B$7*12,B74*$B$6/12,"")</f>
        <v/>
      </c>
      <c r="E74" s="10">
        <f>IF(62&lt;=$B$7*12,C74-D74,"")</f>
        <v/>
      </c>
      <c r="F74" s="10">
        <f>IF(62&lt;=$B$7*12,MAX(0,B74-E74),"")</f>
        <v/>
      </c>
    </row>
    <row r="75">
      <c r="A75" s="4">
        <f>IF(63&lt;=$B$7*12,63,"")</f>
        <v/>
      </c>
      <c r="B75" s="10">
        <f>IF(63&lt;=$B$7*12,F74,"")</f>
        <v/>
      </c>
      <c r="C75" s="10">
        <f>IF(63&lt;=$B$7*12,$B$8,"")</f>
        <v/>
      </c>
      <c r="D75" s="10">
        <f>IF(63&lt;=$B$7*12,B75*$B$6/12,"")</f>
        <v/>
      </c>
      <c r="E75" s="10">
        <f>IF(63&lt;=$B$7*12,C75-D75,"")</f>
        <v/>
      </c>
      <c r="F75" s="10">
        <f>IF(63&lt;=$B$7*12,MAX(0,B75-E75),"")</f>
        <v/>
      </c>
    </row>
    <row r="76">
      <c r="A76" s="4">
        <f>IF(64&lt;=$B$7*12,64,"")</f>
        <v/>
      </c>
      <c r="B76" s="10">
        <f>IF(64&lt;=$B$7*12,F75,"")</f>
        <v/>
      </c>
      <c r="C76" s="10">
        <f>IF(64&lt;=$B$7*12,$B$8,"")</f>
        <v/>
      </c>
      <c r="D76" s="10">
        <f>IF(64&lt;=$B$7*12,B76*$B$6/12,"")</f>
        <v/>
      </c>
      <c r="E76" s="10">
        <f>IF(64&lt;=$B$7*12,C76-D76,"")</f>
        <v/>
      </c>
      <c r="F76" s="10">
        <f>IF(64&lt;=$B$7*12,MAX(0,B76-E76),"")</f>
        <v/>
      </c>
    </row>
    <row r="77">
      <c r="A77" s="4">
        <f>IF(65&lt;=$B$7*12,65,"")</f>
        <v/>
      </c>
      <c r="B77" s="10">
        <f>IF(65&lt;=$B$7*12,F76,"")</f>
        <v/>
      </c>
      <c r="C77" s="10">
        <f>IF(65&lt;=$B$7*12,$B$8,"")</f>
        <v/>
      </c>
      <c r="D77" s="10">
        <f>IF(65&lt;=$B$7*12,B77*$B$6/12,"")</f>
        <v/>
      </c>
      <c r="E77" s="10">
        <f>IF(65&lt;=$B$7*12,C77-D77,"")</f>
        <v/>
      </c>
      <c r="F77" s="10">
        <f>IF(65&lt;=$B$7*12,MAX(0,B77-E77),"")</f>
        <v/>
      </c>
    </row>
    <row r="78">
      <c r="A78" s="4">
        <f>IF(66&lt;=$B$7*12,66,"")</f>
        <v/>
      </c>
      <c r="B78" s="10">
        <f>IF(66&lt;=$B$7*12,F77,"")</f>
        <v/>
      </c>
      <c r="C78" s="10">
        <f>IF(66&lt;=$B$7*12,$B$8,"")</f>
        <v/>
      </c>
      <c r="D78" s="10">
        <f>IF(66&lt;=$B$7*12,B78*$B$6/12,"")</f>
        <v/>
      </c>
      <c r="E78" s="10">
        <f>IF(66&lt;=$B$7*12,C78-D78,"")</f>
        <v/>
      </c>
      <c r="F78" s="10">
        <f>IF(66&lt;=$B$7*12,MAX(0,B78-E78),"")</f>
        <v/>
      </c>
    </row>
    <row r="79">
      <c r="A79" s="4">
        <f>IF(67&lt;=$B$7*12,67,"")</f>
        <v/>
      </c>
      <c r="B79" s="10">
        <f>IF(67&lt;=$B$7*12,F78,"")</f>
        <v/>
      </c>
      <c r="C79" s="10">
        <f>IF(67&lt;=$B$7*12,$B$8,"")</f>
        <v/>
      </c>
      <c r="D79" s="10">
        <f>IF(67&lt;=$B$7*12,B79*$B$6/12,"")</f>
        <v/>
      </c>
      <c r="E79" s="10">
        <f>IF(67&lt;=$B$7*12,C79-D79,"")</f>
        <v/>
      </c>
      <c r="F79" s="10">
        <f>IF(67&lt;=$B$7*12,MAX(0,B79-E79),"")</f>
        <v/>
      </c>
    </row>
    <row r="80">
      <c r="A80" s="4">
        <f>IF(68&lt;=$B$7*12,68,"")</f>
        <v/>
      </c>
      <c r="B80" s="10">
        <f>IF(68&lt;=$B$7*12,F79,"")</f>
        <v/>
      </c>
      <c r="C80" s="10">
        <f>IF(68&lt;=$B$7*12,$B$8,"")</f>
        <v/>
      </c>
      <c r="D80" s="10">
        <f>IF(68&lt;=$B$7*12,B80*$B$6/12,"")</f>
        <v/>
      </c>
      <c r="E80" s="10">
        <f>IF(68&lt;=$B$7*12,C80-D80,"")</f>
        <v/>
      </c>
      <c r="F80" s="10">
        <f>IF(68&lt;=$B$7*12,MAX(0,B80-E80),"")</f>
        <v/>
      </c>
    </row>
    <row r="81">
      <c r="A81" s="4">
        <f>IF(69&lt;=$B$7*12,69,"")</f>
        <v/>
      </c>
      <c r="B81" s="10">
        <f>IF(69&lt;=$B$7*12,F80,"")</f>
        <v/>
      </c>
      <c r="C81" s="10">
        <f>IF(69&lt;=$B$7*12,$B$8,"")</f>
        <v/>
      </c>
      <c r="D81" s="10">
        <f>IF(69&lt;=$B$7*12,B81*$B$6/12,"")</f>
        <v/>
      </c>
      <c r="E81" s="10">
        <f>IF(69&lt;=$B$7*12,C81-D81,"")</f>
        <v/>
      </c>
      <c r="F81" s="10">
        <f>IF(69&lt;=$B$7*12,MAX(0,B81-E81),"")</f>
        <v/>
      </c>
    </row>
    <row r="82">
      <c r="A82" s="4">
        <f>IF(70&lt;=$B$7*12,70,"")</f>
        <v/>
      </c>
      <c r="B82" s="10">
        <f>IF(70&lt;=$B$7*12,F81,"")</f>
        <v/>
      </c>
      <c r="C82" s="10">
        <f>IF(70&lt;=$B$7*12,$B$8,"")</f>
        <v/>
      </c>
      <c r="D82" s="10">
        <f>IF(70&lt;=$B$7*12,B82*$B$6/12,"")</f>
        <v/>
      </c>
      <c r="E82" s="10">
        <f>IF(70&lt;=$B$7*12,C82-D82,"")</f>
        <v/>
      </c>
      <c r="F82" s="10">
        <f>IF(70&lt;=$B$7*12,MAX(0,B82-E82),"")</f>
        <v/>
      </c>
    </row>
    <row r="83">
      <c r="A83" s="4">
        <f>IF(71&lt;=$B$7*12,71,"")</f>
        <v/>
      </c>
      <c r="B83" s="10">
        <f>IF(71&lt;=$B$7*12,F82,"")</f>
        <v/>
      </c>
      <c r="C83" s="10">
        <f>IF(71&lt;=$B$7*12,$B$8,"")</f>
        <v/>
      </c>
      <c r="D83" s="10">
        <f>IF(71&lt;=$B$7*12,B83*$B$6/12,"")</f>
        <v/>
      </c>
      <c r="E83" s="10">
        <f>IF(71&lt;=$B$7*12,C83-D83,"")</f>
        <v/>
      </c>
      <c r="F83" s="10">
        <f>IF(71&lt;=$B$7*12,MAX(0,B83-E83),"")</f>
        <v/>
      </c>
    </row>
    <row r="84">
      <c r="A84" s="4">
        <f>IF(72&lt;=$B$7*12,72,"")</f>
        <v/>
      </c>
      <c r="B84" s="10">
        <f>IF(72&lt;=$B$7*12,F83,"")</f>
        <v/>
      </c>
      <c r="C84" s="10">
        <f>IF(72&lt;=$B$7*12,$B$8,"")</f>
        <v/>
      </c>
      <c r="D84" s="10">
        <f>IF(72&lt;=$B$7*12,B84*$B$6/12,"")</f>
        <v/>
      </c>
      <c r="E84" s="10">
        <f>IF(72&lt;=$B$7*12,C84-D84,"")</f>
        <v/>
      </c>
      <c r="F84" s="10">
        <f>IF(72&lt;=$B$7*12,MAX(0,B84-E84),"")</f>
        <v/>
      </c>
    </row>
    <row r="85">
      <c r="A85" s="4">
        <f>IF(73&lt;=$B$7*12,73,"")</f>
        <v/>
      </c>
      <c r="B85" s="10">
        <f>IF(73&lt;=$B$7*12,F84,"")</f>
        <v/>
      </c>
      <c r="C85" s="10">
        <f>IF(73&lt;=$B$7*12,$B$8,"")</f>
        <v/>
      </c>
      <c r="D85" s="10">
        <f>IF(73&lt;=$B$7*12,B85*$B$6/12,"")</f>
        <v/>
      </c>
      <c r="E85" s="10">
        <f>IF(73&lt;=$B$7*12,C85-D85,"")</f>
        <v/>
      </c>
      <c r="F85" s="10">
        <f>IF(73&lt;=$B$7*12,MAX(0,B85-E85),"")</f>
        <v/>
      </c>
    </row>
    <row r="86">
      <c r="A86" s="4">
        <f>IF(74&lt;=$B$7*12,74,"")</f>
        <v/>
      </c>
      <c r="B86" s="10">
        <f>IF(74&lt;=$B$7*12,F85,"")</f>
        <v/>
      </c>
      <c r="C86" s="10">
        <f>IF(74&lt;=$B$7*12,$B$8,"")</f>
        <v/>
      </c>
      <c r="D86" s="10">
        <f>IF(74&lt;=$B$7*12,B86*$B$6/12,"")</f>
        <v/>
      </c>
      <c r="E86" s="10">
        <f>IF(74&lt;=$B$7*12,C86-D86,"")</f>
        <v/>
      </c>
      <c r="F86" s="10">
        <f>IF(74&lt;=$B$7*12,MAX(0,B86-E86),"")</f>
        <v/>
      </c>
    </row>
    <row r="87">
      <c r="A87" s="4">
        <f>IF(75&lt;=$B$7*12,75,"")</f>
        <v/>
      </c>
      <c r="B87" s="10">
        <f>IF(75&lt;=$B$7*12,F86,"")</f>
        <v/>
      </c>
      <c r="C87" s="10">
        <f>IF(75&lt;=$B$7*12,$B$8,"")</f>
        <v/>
      </c>
      <c r="D87" s="10">
        <f>IF(75&lt;=$B$7*12,B87*$B$6/12,"")</f>
        <v/>
      </c>
      <c r="E87" s="10">
        <f>IF(75&lt;=$B$7*12,C87-D87,"")</f>
        <v/>
      </c>
      <c r="F87" s="10">
        <f>IF(75&lt;=$B$7*12,MAX(0,B87-E87),"")</f>
        <v/>
      </c>
    </row>
    <row r="88">
      <c r="A88" s="4">
        <f>IF(76&lt;=$B$7*12,76,"")</f>
        <v/>
      </c>
      <c r="B88" s="10">
        <f>IF(76&lt;=$B$7*12,F87,"")</f>
        <v/>
      </c>
      <c r="C88" s="10">
        <f>IF(76&lt;=$B$7*12,$B$8,"")</f>
        <v/>
      </c>
      <c r="D88" s="10">
        <f>IF(76&lt;=$B$7*12,B88*$B$6/12,"")</f>
        <v/>
      </c>
      <c r="E88" s="10">
        <f>IF(76&lt;=$B$7*12,C88-D88,"")</f>
        <v/>
      </c>
      <c r="F88" s="10">
        <f>IF(76&lt;=$B$7*12,MAX(0,B88-E88),"")</f>
        <v/>
      </c>
    </row>
    <row r="89">
      <c r="A89" s="4">
        <f>IF(77&lt;=$B$7*12,77,"")</f>
        <v/>
      </c>
      <c r="B89" s="10">
        <f>IF(77&lt;=$B$7*12,F88,"")</f>
        <v/>
      </c>
      <c r="C89" s="10">
        <f>IF(77&lt;=$B$7*12,$B$8,"")</f>
        <v/>
      </c>
      <c r="D89" s="10">
        <f>IF(77&lt;=$B$7*12,B89*$B$6/12,"")</f>
        <v/>
      </c>
      <c r="E89" s="10">
        <f>IF(77&lt;=$B$7*12,C89-D89,"")</f>
        <v/>
      </c>
      <c r="F89" s="10">
        <f>IF(77&lt;=$B$7*12,MAX(0,B89-E89),"")</f>
        <v/>
      </c>
    </row>
    <row r="90">
      <c r="A90" s="4">
        <f>IF(78&lt;=$B$7*12,78,"")</f>
        <v/>
      </c>
      <c r="B90" s="10">
        <f>IF(78&lt;=$B$7*12,F89,"")</f>
        <v/>
      </c>
      <c r="C90" s="10">
        <f>IF(78&lt;=$B$7*12,$B$8,"")</f>
        <v/>
      </c>
      <c r="D90" s="10">
        <f>IF(78&lt;=$B$7*12,B90*$B$6/12,"")</f>
        <v/>
      </c>
      <c r="E90" s="10">
        <f>IF(78&lt;=$B$7*12,C90-D90,"")</f>
        <v/>
      </c>
      <c r="F90" s="10">
        <f>IF(78&lt;=$B$7*12,MAX(0,B90-E90),"")</f>
        <v/>
      </c>
    </row>
    <row r="91">
      <c r="A91" s="4">
        <f>IF(79&lt;=$B$7*12,79,"")</f>
        <v/>
      </c>
      <c r="B91" s="10">
        <f>IF(79&lt;=$B$7*12,F90,"")</f>
        <v/>
      </c>
      <c r="C91" s="10">
        <f>IF(79&lt;=$B$7*12,$B$8,"")</f>
        <v/>
      </c>
      <c r="D91" s="10">
        <f>IF(79&lt;=$B$7*12,B91*$B$6/12,"")</f>
        <v/>
      </c>
      <c r="E91" s="10">
        <f>IF(79&lt;=$B$7*12,C91-D91,"")</f>
        <v/>
      </c>
      <c r="F91" s="10">
        <f>IF(79&lt;=$B$7*12,MAX(0,B91-E91),"")</f>
        <v/>
      </c>
    </row>
    <row r="92">
      <c r="A92" s="4">
        <f>IF(80&lt;=$B$7*12,80,"")</f>
        <v/>
      </c>
      <c r="B92" s="10">
        <f>IF(80&lt;=$B$7*12,F91,"")</f>
        <v/>
      </c>
      <c r="C92" s="10">
        <f>IF(80&lt;=$B$7*12,$B$8,"")</f>
        <v/>
      </c>
      <c r="D92" s="10">
        <f>IF(80&lt;=$B$7*12,B92*$B$6/12,"")</f>
        <v/>
      </c>
      <c r="E92" s="10">
        <f>IF(80&lt;=$B$7*12,C92-D92,"")</f>
        <v/>
      </c>
      <c r="F92" s="10">
        <f>IF(80&lt;=$B$7*12,MAX(0,B92-E92),"")</f>
        <v/>
      </c>
    </row>
    <row r="93">
      <c r="A93" s="4">
        <f>IF(81&lt;=$B$7*12,81,"")</f>
        <v/>
      </c>
      <c r="B93" s="10">
        <f>IF(81&lt;=$B$7*12,F92,"")</f>
        <v/>
      </c>
      <c r="C93" s="10">
        <f>IF(81&lt;=$B$7*12,$B$8,"")</f>
        <v/>
      </c>
      <c r="D93" s="10">
        <f>IF(81&lt;=$B$7*12,B93*$B$6/12,"")</f>
        <v/>
      </c>
      <c r="E93" s="10">
        <f>IF(81&lt;=$B$7*12,C93-D93,"")</f>
        <v/>
      </c>
      <c r="F93" s="10">
        <f>IF(81&lt;=$B$7*12,MAX(0,B93-E93),"")</f>
        <v/>
      </c>
    </row>
    <row r="94">
      <c r="A94" s="4">
        <f>IF(82&lt;=$B$7*12,82,"")</f>
        <v/>
      </c>
      <c r="B94" s="10">
        <f>IF(82&lt;=$B$7*12,F93,"")</f>
        <v/>
      </c>
      <c r="C94" s="10">
        <f>IF(82&lt;=$B$7*12,$B$8,"")</f>
        <v/>
      </c>
      <c r="D94" s="10">
        <f>IF(82&lt;=$B$7*12,B94*$B$6/12,"")</f>
        <v/>
      </c>
      <c r="E94" s="10">
        <f>IF(82&lt;=$B$7*12,C94-D94,"")</f>
        <v/>
      </c>
      <c r="F94" s="10">
        <f>IF(82&lt;=$B$7*12,MAX(0,B94-E94),"")</f>
        <v/>
      </c>
    </row>
    <row r="95">
      <c r="A95" s="4">
        <f>IF(83&lt;=$B$7*12,83,"")</f>
        <v/>
      </c>
      <c r="B95" s="10">
        <f>IF(83&lt;=$B$7*12,F94,"")</f>
        <v/>
      </c>
      <c r="C95" s="10">
        <f>IF(83&lt;=$B$7*12,$B$8,"")</f>
        <v/>
      </c>
      <c r="D95" s="10">
        <f>IF(83&lt;=$B$7*12,B95*$B$6/12,"")</f>
        <v/>
      </c>
      <c r="E95" s="10">
        <f>IF(83&lt;=$B$7*12,C95-D95,"")</f>
        <v/>
      </c>
      <c r="F95" s="10">
        <f>IF(83&lt;=$B$7*12,MAX(0,B95-E95),"")</f>
        <v/>
      </c>
    </row>
    <row r="96">
      <c r="A96" s="4">
        <f>IF(84&lt;=$B$7*12,84,"")</f>
        <v/>
      </c>
      <c r="B96" s="10">
        <f>IF(84&lt;=$B$7*12,F95,"")</f>
        <v/>
      </c>
      <c r="C96" s="10">
        <f>IF(84&lt;=$B$7*12,$B$8,"")</f>
        <v/>
      </c>
      <c r="D96" s="10">
        <f>IF(84&lt;=$B$7*12,B96*$B$6/12,"")</f>
        <v/>
      </c>
      <c r="E96" s="10">
        <f>IF(84&lt;=$B$7*12,C96-D96,"")</f>
        <v/>
      </c>
      <c r="F96" s="10">
        <f>IF(84&lt;=$B$7*12,MAX(0,B96-E96),"")</f>
        <v/>
      </c>
    </row>
    <row r="97">
      <c r="A97" s="4">
        <f>IF(85&lt;=$B$7*12,85,"")</f>
        <v/>
      </c>
      <c r="B97" s="10">
        <f>IF(85&lt;=$B$7*12,F96,"")</f>
        <v/>
      </c>
      <c r="C97" s="10">
        <f>IF(85&lt;=$B$7*12,$B$8,"")</f>
        <v/>
      </c>
      <c r="D97" s="10">
        <f>IF(85&lt;=$B$7*12,B97*$B$6/12,"")</f>
        <v/>
      </c>
      <c r="E97" s="10">
        <f>IF(85&lt;=$B$7*12,C97-D97,"")</f>
        <v/>
      </c>
      <c r="F97" s="10">
        <f>IF(85&lt;=$B$7*12,MAX(0,B97-E97),"")</f>
        <v/>
      </c>
    </row>
    <row r="98">
      <c r="A98" s="4">
        <f>IF(86&lt;=$B$7*12,86,"")</f>
        <v/>
      </c>
      <c r="B98" s="10">
        <f>IF(86&lt;=$B$7*12,F97,"")</f>
        <v/>
      </c>
      <c r="C98" s="10">
        <f>IF(86&lt;=$B$7*12,$B$8,"")</f>
        <v/>
      </c>
      <c r="D98" s="10">
        <f>IF(86&lt;=$B$7*12,B98*$B$6/12,"")</f>
        <v/>
      </c>
      <c r="E98" s="10">
        <f>IF(86&lt;=$B$7*12,C98-D98,"")</f>
        <v/>
      </c>
      <c r="F98" s="10">
        <f>IF(86&lt;=$B$7*12,MAX(0,B98-E98),"")</f>
        <v/>
      </c>
    </row>
    <row r="99">
      <c r="A99" s="4">
        <f>IF(87&lt;=$B$7*12,87,"")</f>
        <v/>
      </c>
      <c r="B99" s="10">
        <f>IF(87&lt;=$B$7*12,F98,"")</f>
        <v/>
      </c>
      <c r="C99" s="10">
        <f>IF(87&lt;=$B$7*12,$B$8,"")</f>
        <v/>
      </c>
      <c r="D99" s="10">
        <f>IF(87&lt;=$B$7*12,B99*$B$6/12,"")</f>
        <v/>
      </c>
      <c r="E99" s="10">
        <f>IF(87&lt;=$B$7*12,C99-D99,"")</f>
        <v/>
      </c>
      <c r="F99" s="10">
        <f>IF(87&lt;=$B$7*12,MAX(0,B99-E99),"")</f>
        <v/>
      </c>
    </row>
    <row r="100">
      <c r="A100" s="4">
        <f>IF(88&lt;=$B$7*12,88,"")</f>
        <v/>
      </c>
      <c r="B100" s="10">
        <f>IF(88&lt;=$B$7*12,F99,"")</f>
        <v/>
      </c>
      <c r="C100" s="10">
        <f>IF(88&lt;=$B$7*12,$B$8,"")</f>
        <v/>
      </c>
      <c r="D100" s="10">
        <f>IF(88&lt;=$B$7*12,B100*$B$6/12,"")</f>
        <v/>
      </c>
      <c r="E100" s="10">
        <f>IF(88&lt;=$B$7*12,C100-D100,"")</f>
        <v/>
      </c>
      <c r="F100" s="10">
        <f>IF(88&lt;=$B$7*12,MAX(0,B100-E100),"")</f>
        <v/>
      </c>
    </row>
    <row r="101">
      <c r="A101" s="4">
        <f>IF(89&lt;=$B$7*12,89,"")</f>
        <v/>
      </c>
      <c r="B101" s="10">
        <f>IF(89&lt;=$B$7*12,F100,"")</f>
        <v/>
      </c>
      <c r="C101" s="10">
        <f>IF(89&lt;=$B$7*12,$B$8,"")</f>
        <v/>
      </c>
      <c r="D101" s="10">
        <f>IF(89&lt;=$B$7*12,B101*$B$6/12,"")</f>
        <v/>
      </c>
      <c r="E101" s="10">
        <f>IF(89&lt;=$B$7*12,C101-D101,"")</f>
        <v/>
      </c>
      <c r="F101" s="10">
        <f>IF(89&lt;=$B$7*12,MAX(0,B101-E101),"")</f>
        <v/>
      </c>
    </row>
    <row r="102">
      <c r="A102" s="4">
        <f>IF(90&lt;=$B$7*12,90,"")</f>
        <v/>
      </c>
      <c r="B102" s="10">
        <f>IF(90&lt;=$B$7*12,F101,"")</f>
        <v/>
      </c>
      <c r="C102" s="10">
        <f>IF(90&lt;=$B$7*12,$B$8,"")</f>
        <v/>
      </c>
      <c r="D102" s="10">
        <f>IF(90&lt;=$B$7*12,B102*$B$6/12,"")</f>
        <v/>
      </c>
      <c r="E102" s="10">
        <f>IF(90&lt;=$B$7*12,C102-D102,"")</f>
        <v/>
      </c>
      <c r="F102" s="10">
        <f>IF(90&lt;=$B$7*12,MAX(0,B102-E102),"")</f>
        <v/>
      </c>
    </row>
    <row r="103">
      <c r="A103" s="4">
        <f>IF(91&lt;=$B$7*12,91,"")</f>
        <v/>
      </c>
      <c r="B103" s="10">
        <f>IF(91&lt;=$B$7*12,F102,"")</f>
        <v/>
      </c>
      <c r="C103" s="10">
        <f>IF(91&lt;=$B$7*12,$B$8,"")</f>
        <v/>
      </c>
      <c r="D103" s="10">
        <f>IF(91&lt;=$B$7*12,B103*$B$6/12,"")</f>
        <v/>
      </c>
      <c r="E103" s="10">
        <f>IF(91&lt;=$B$7*12,C103-D103,"")</f>
        <v/>
      </c>
      <c r="F103" s="10">
        <f>IF(91&lt;=$B$7*12,MAX(0,B103-E103),"")</f>
        <v/>
      </c>
    </row>
    <row r="104">
      <c r="A104" s="4">
        <f>IF(92&lt;=$B$7*12,92,"")</f>
        <v/>
      </c>
      <c r="B104" s="10">
        <f>IF(92&lt;=$B$7*12,F103,"")</f>
        <v/>
      </c>
      <c r="C104" s="10">
        <f>IF(92&lt;=$B$7*12,$B$8,"")</f>
        <v/>
      </c>
      <c r="D104" s="10">
        <f>IF(92&lt;=$B$7*12,B104*$B$6/12,"")</f>
        <v/>
      </c>
      <c r="E104" s="10">
        <f>IF(92&lt;=$B$7*12,C104-D104,"")</f>
        <v/>
      </c>
      <c r="F104" s="10">
        <f>IF(92&lt;=$B$7*12,MAX(0,B104-E104),"")</f>
        <v/>
      </c>
    </row>
    <row r="105">
      <c r="A105" s="4">
        <f>IF(93&lt;=$B$7*12,93,"")</f>
        <v/>
      </c>
      <c r="B105" s="10">
        <f>IF(93&lt;=$B$7*12,F104,"")</f>
        <v/>
      </c>
      <c r="C105" s="10">
        <f>IF(93&lt;=$B$7*12,$B$8,"")</f>
        <v/>
      </c>
      <c r="D105" s="10">
        <f>IF(93&lt;=$B$7*12,B105*$B$6/12,"")</f>
        <v/>
      </c>
      <c r="E105" s="10">
        <f>IF(93&lt;=$B$7*12,C105-D105,"")</f>
        <v/>
      </c>
      <c r="F105" s="10">
        <f>IF(93&lt;=$B$7*12,MAX(0,B105-E105),"")</f>
        <v/>
      </c>
    </row>
    <row r="106">
      <c r="A106" s="4">
        <f>IF(94&lt;=$B$7*12,94,"")</f>
        <v/>
      </c>
      <c r="B106" s="10">
        <f>IF(94&lt;=$B$7*12,F105,"")</f>
        <v/>
      </c>
      <c r="C106" s="10">
        <f>IF(94&lt;=$B$7*12,$B$8,"")</f>
        <v/>
      </c>
      <c r="D106" s="10">
        <f>IF(94&lt;=$B$7*12,B106*$B$6/12,"")</f>
        <v/>
      </c>
      <c r="E106" s="10">
        <f>IF(94&lt;=$B$7*12,C106-D106,"")</f>
        <v/>
      </c>
      <c r="F106" s="10">
        <f>IF(94&lt;=$B$7*12,MAX(0,B106-E106),"")</f>
        <v/>
      </c>
    </row>
    <row r="107">
      <c r="A107" s="4">
        <f>IF(95&lt;=$B$7*12,95,"")</f>
        <v/>
      </c>
      <c r="B107" s="10">
        <f>IF(95&lt;=$B$7*12,F106,"")</f>
        <v/>
      </c>
      <c r="C107" s="10">
        <f>IF(95&lt;=$B$7*12,$B$8,"")</f>
        <v/>
      </c>
      <c r="D107" s="10">
        <f>IF(95&lt;=$B$7*12,B107*$B$6/12,"")</f>
        <v/>
      </c>
      <c r="E107" s="10">
        <f>IF(95&lt;=$B$7*12,C107-D107,"")</f>
        <v/>
      </c>
      <c r="F107" s="10">
        <f>IF(95&lt;=$B$7*12,MAX(0,B107-E107),"")</f>
        <v/>
      </c>
    </row>
    <row r="108">
      <c r="A108" s="4">
        <f>IF(96&lt;=$B$7*12,96,"")</f>
        <v/>
      </c>
      <c r="B108" s="10">
        <f>IF(96&lt;=$B$7*12,F107,"")</f>
        <v/>
      </c>
      <c r="C108" s="10">
        <f>IF(96&lt;=$B$7*12,$B$8,"")</f>
        <v/>
      </c>
      <c r="D108" s="10">
        <f>IF(96&lt;=$B$7*12,B108*$B$6/12,"")</f>
        <v/>
      </c>
      <c r="E108" s="10">
        <f>IF(96&lt;=$B$7*12,C108-D108,"")</f>
        <v/>
      </c>
      <c r="F108" s="10">
        <f>IF(96&lt;=$B$7*12,MAX(0,B108-E108),"")</f>
        <v/>
      </c>
    </row>
    <row r="109">
      <c r="A109" s="4">
        <f>IF(97&lt;=$B$7*12,97,"")</f>
        <v/>
      </c>
      <c r="B109" s="10">
        <f>IF(97&lt;=$B$7*12,F108,"")</f>
        <v/>
      </c>
      <c r="C109" s="10">
        <f>IF(97&lt;=$B$7*12,$B$8,"")</f>
        <v/>
      </c>
      <c r="D109" s="10">
        <f>IF(97&lt;=$B$7*12,B109*$B$6/12,"")</f>
        <v/>
      </c>
      <c r="E109" s="10">
        <f>IF(97&lt;=$B$7*12,C109-D109,"")</f>
        <v/>
      </c>
      <c r="F109" s="10">
        <f>IF(97&lt;=$B$7*12,MAX(0,B109-E109),"")</f>
        <v/>
      </c>
    </row>
    <row r="110">
      <c r="A110" s="4">
        <f>IF(98&lt;=$B$7*12,98,"")</f>
        <v/>
      </c>
      <c r="B110" s="10">
        <f>IF(98&lt;=$B$7*12,F109,"")</f>
        <v/>
      </c>
      <c r="C110" s="10">
        <f>IF(98&lt;=$B$7*12,$B$8,"")</f>
        <v/>
      </c>
      <c r="D110" s="10">
        <f>IF(98&lt;=$B$7*12,B110*$B$6/12,"")</f>
        <v/>
      </c>
      <c r="E110" s="10">
        <f>IF(98&lt;=$B$7*12,C110-D110,"")</f>
        <v/>
      </c>
      <c r="F110" s="10">
        <f>IF(98&lt;=$B$7*12,MAX(0,B110-E110),"")</f>
        <v/>
      </c>
    </row>
    <row r="111">
      <c r="A111" s="4">
        <f>IF(99&lt;=$B$7*12,99,"")</f>
        <v/>
      </c>
      <c r="B111" s="10">
        <f>IF(99&lt;=$B$7*12,F110,"")</f>
        <v/>
      </c>
      <c r="C111" s="10">
        <f>IF(99&lt;=$B$7*12,$B$8,"")</f>
        <v/>
      </c>
      <c r="D111" s="10">
        <f>IF(99&lt;=$B$7*12,B111*$B$6/12,"")</f>
        <v/>
      </c>
      <c r="E111" s="10">
        <f>IF(99&lt;=$B$7*12,C111-D111,"")</f>
        <v/>
      </c>
      <c r="F111" s="10">
        <f>IF(99&lt;=$B$7*12,MAX(0,B111-E111),"")</f>
        <v/>
      </c>
    </row>
    <row r="112">
      <c r="A112" s="4">
        <f>IF(100&lt;=$B$7*12,100,"")</f>
        <v/>
      </c>
      <c r="B112" s="10">
        <f>IF(100&lt;=$B$7*12,F111,"")</f>
        <v/>
      </c>
      <c r="C112" s="10">
        <f>IF(100&lt;=$B$7*12,$B$8,"")</f>
        <v/>
      </c>
      <c r="D112" s="10">
        <f>IF(100&lt;=$B$7*12,B112*$B$6/12,"")</f>
        <v/>
      </c>
      <c r="E112" s="10">
        <f>IF(100&lt;=$B$7*12,C112-D112,"")</f>
        <v/>
      </c>
      <c r="F112" s="10">
        <f>IF(100&lt;=$B$7*12,MAX(0,B112-E112),"")</f>
        <v/>
      </c>
    </row>
    <row r="113">
      <c r="A113" s="4">
        <f>IF(101&lt;=$B$7*12,101,"")</f>
        <v/>
      </c>
      <c r="B113" s="10">
        <f>IF(101&lt;=$B$7*12,F112,"")</f>
        <v/>
      </c>
      <c r="C113" s="10">
        <f>IF(101&lt;=$B$7*12,$B$8,"")</f>
        <v/>
      </c>
      <c r="D113" s="10">
        <f>IF(101&lt;=$B$7*12,B113*$B$6/12,"")</f>
        <v/>
      </c>
      <c r="E113" s="10">
        <f>IF(101&lt;=$B$7*12,C113-D113,"")</f>
        <v/>
      </c>
      <c r="F113" s="10">
        <f>IF(101&lt;=$B$7*12,MAX(0,B113-E113),"")</f>
        <v/>
      </c>
    </row>
    <row r="114">
      <c r="A114" s="4">
        <f>IF(102&lt;=$B$7*12,102,"")</f>
        <v/>
      </c>
      <c r="B114" s="10">
        <f>IF(102&lt;=$B$7*12,F113,"")</f>
        <v/>
      </c>
      <c r="C114" s="10">
        <f>IF(102&lt;=$B$7*12,$B$8,"")</f>
        <v/>
      </c>
      <c r="D114" s="10">
        <f>IF(102&lt;=$B$7*12,B114*$B$6/12,"")</f>
        <v/>
      </c>
      <c r="E114" s="10">
        <f>IF(102&lt;=$B$7*12,C114-D114,"")</f>
        <v/>
      </c>
      <c r="F114" s="10">
        <f>IF(102&lt;=$B$7*12,MAX(0,B114-E114),"")</f>
        <v/>
      </c>
    </row>
    <row r="115">
      <c r="A115" s="4">
        <f>IF(103&lt;=$B$7*12,103,"")</f>
        <v/>
      </c>
      <c r="B115" s="10">
        <f>IF(103&lt;=$B$7*12,F114,"")</f>
        <v/>
      </c>
      <c r="C115" s="10">
        <f>IF(103&lt;=$B$7*12,$B$8,"")</f>
        <v/>
      </c>
      <c r="D115" s="10">
        <f>IF(103&lt;=$B$7*12,B115*$B$6/12,"")</f>
        <v/>
      </c>
      <c r="E115" s="10">
        <f>IF(103&lt;=$B$7*12,C115-D115,"")</f>
        <v/>
      </c>
      <c r="F115" s="10">
        <f>IF(103&lt;=$B$7*12,MAX(0,B115-E115),"")</f>
        <v/>
      </c>
    </row>
    <row r="116">
      <c r="A116" s="4">
        <f>IF(104&lt;=$B$7*12,104,"")</f>
        <v/>
      </c>
      <c r="B116" s="10">
        <f>IF(104&lt;=$B$7*12,F115,"")</f>
        <v/>
      </c>
      <c r="C116" s="10">
        <f>IF(104&lt;=$B$7*12,$B$8,"")</f>
        <v/>
      </c>
      <c r="D116" s="10">
        <f>IF(104&lt;=$B$7*12,B116*$B$6/12,"")</f>
        <v/>
      </c>
      <c r="E116" s="10">
        <f>IF(104&lt;=$B$7*12,C116-D116,"")</f>
        <v/>
      </c>
      <c r="F116" s="10">
        <f>IF(104&lt;=$B$7*12,MAX(0,B116-E116),"")</f>
        <v/>
      </c>
    </row>
    <row r="117">
      <c r="A117" s="4">
        <f>IF(105&lt;=$B$7*12,105,"")</f>
        <v/>
      </c>
      <c r="B117" s="10">
        <f>IF(105&lt;=$B$7*12,F116,"")</f>
        <v/>
      </c>
      <c r="C117" s="10">
        <f>IF(105&lt;=$B$7*12,$B$8,"")</f>
        <v/>
      </c>
      <c r="D117" s="10">
        <f>IF(105&lt;=$B$7*12,B117*$B$6/12,"")</f>
        <v/>
      </c>
      <c r="E117" s="10">
        <f>IF(105&lt;=$B$7*12,C117-D117,"")</f>
        <v/>
      </c>
      <c r="F117" s="10">
        <f>IF(105&lt;=$B$7*12,MAX(0,B117-E117),"")</f>
        <v/>
      </c>
    </row>
    <row r="118">
      <c r="A118" s="4">
        <f>IF(106&lt;=$B$7*12,106,"")</f>
        <v/>
      </c>
      <c r="B118" s="10">
        <f>IF(106&lt;=$B$7*12,F117,"")</f>
        <v/>
      </c>
      <c r="C118" s="10">
        <f>IF(106&lt;=$B$7*12,$B$8,"")</f>
        <v/>
      </c>
      <c r="D118" s="10">
        <f>IF(106&lt;=$B$7*12,B118*$B$6/12,"")</f>
        <v/>
      </c>
      <c r="E118" s="10">
        <f>IF(106&lt;=$B$7*12,C118-D118,"")</f>
        <v/>
      </c>
      <c r="F118" s="10">
        <f>IF(106&lt;=$B$7*12,MAX(0,B118-E118),"")</f>
        <v/>
      </c>
    </row>
    <row r="119">
      <c r="A119" s="4">
        <f>IF(107&lt;=$B$7*12,107,"")</f>
        <v/>
      </c>
      <c r="B119" s="10">
        <f>IF(107&lt;=$B$7*12,F118,"")</f>
        <v/>
      </c>
      <c r="C119" s="10">
        <f>IF(107&lt;=$B$7*12,$B$8,"")</f>
        <v/>
      </c>
      <c r="D119" s="10">
        <f>IF(107&lt;=$B$7*12,B119*$B$6/12,"")</f>
        <v/>
      </c>
      <c r="E119" s="10">
        <f>IF(107&lt;=$B$7*12,C119-D119,"")</f>
        <v/>
      </c>
      <c r="F119" s="10">
        <f>IF(107&lt;=$B$7*12,MAX(0,B119-E119),"")</f>
        <v/>
      </c>
    </row>
    <row r="120">
      <c r="A120" s="4">
        <f>IF(108&lt;=$B$7*12,108,"")</f>
        <v/>
      </c>
      <c r="B120" s="10">
        <f>IF(108&lt;=$B$7*12,F119,"")</f>
        <v/>
      </c>
      <c r="C120" s="10">
        <f>IF(108&lt;=$B$7*12,$B$8,"")</f>
        <v/>
      </c>
      <c r="D120" s="10">
        <f>IF(108&lt;=$B$7*12,B120*$B$6/12,"")</f>
        <v/>
      </c>
      <c r="E120" s="10">
        <f>IF(108&lt;=$B$7*12,C120-D120,"")</f>
        <v/>
      </c>
      <c r="F120" s="10">
        <f>IF(108&lt;=$B$7*12,MAX(0,B120-E120),"")</f>
        <v/>
      </c>
    </row>
    <row r="121">
      <c r="A121" s="4">
        <f>IF(109&lt;=$B$7*12,109,"")</f>
        <v/>
      </c>
      <c r="B121" s="10">
        <f>IF(109&lt;=$B$7*12,F120,"")</f>
        <v/>
      </c>
      <c r="C121" s="10">
        <f>IF(109&lt;=$B$7*12,$B$8,"")</f>
        <v/>
      </c>
      <c r="D121" s="10">
        <f>IF(109&lt;=$B$7*12,B121*$B$6/12,"")</f>
        <v/>
      </c>
      <c r="E121" s="10">
        <f>IF(109&lt;=$B$7*12,C121-D121,"")</f>
        <v/>
      </c>
      <c r="F121" s="10">
        <f>IF(109&lt;=$B$7*12,MAX(0,B121-E121),"")</f>
        <v/>
      </c>
    </row>
    <row r="122">
      <c r="A122" s="4">
        <f>IF(110&lt;=$B$7*12,110,"")</f>
        <v/>
      </c>
      <c r="B122" s="10">
        <f>IF(110&lt;=$B$7*12,F121,"")</f>
        <v/>
      </c>
      <c r="C122" s="10">
        <f>IF(110&lt;=$B$7*12,$B$8,"")</f>
        <v/>
      </c>
      <c r="D122" s="10">
        <f>IF(110&lt;=$B$7*12,B122*$B$6/12,"")</f>
        <v/>
      </c>
      <c r="E122" s="10">
        <f>IF(110&lt;=$B$7*12,C122-D122,"")</f>
        <v/>
      </c>
      <c r="F122" s="10">
        <f>IF(110&lt;=$B$7*12,MAX(0,B122-E122),"")</f>
        <v/>
      </c>
    </row>
    <row r="123">
      <c r="A123" s="4">
        <f>IF(111&lt;=$B$7*12,111,"")</f>
        <v/>
      </c>
      <c r="B123" s="10">
        <f>IF(111&lt;=$B$7*12,F122,"")</f>
        <v/>
      </c>
      <c r="C123" s="10">
        <f>IF(111&lt;=$B$7*12,$B$8,"")</f>
        <v/>
      </c>
      <c r="D123" s="10">
        <f>IF(111&lt;=$B$7*12,B123*$B$6/12,"")</f>
        <v/>
      </c>
      <c r="E123" s="10">
        <f>IF(111&lt;=$B$7*12,C123-D123,"")</f>
        <v/>
      </c>
      <c r="F123" s="10">
        <f>IF(111&lt;=$B$7*12,MAX(0,B123-E123),"")</f>
        <v/>
      </c>
    </row>
    <row r="124">
      <c r="A124" s="4">
        <f>IF(112&lt;=$B$7*12,112,"")</f>
        <v/>
      </c>
      <c r="B124" s="10">
        <f>IF(112&lt;=$B$7*12,F123,"")</f>
        <v/>
      </c>
      <c r="C124" s="10">
        <f>IF(112&lt;=$B$7*12,$B$8,"")</f>
        <v/>
      </c>
      <c r="D124" s="10">
        <f>IF(112&lt;=$B$7*12,B124*$B$6/12,"")</f>
        <v/>
      </c>
      <c r="E124" s="10">
        <f>IF(112&lt;=$B$7*12,C124-D124,"")</f>
        <v/>
      </c>
      <c r="F124" s="10">
        <f>IF(112&lt;=$B$7*12,MAX(0,B124-E124),"")</f>
        <v/>
      </c>
    </row>
    <row r="125">
      <c r="A125" s="4">
        <f>IF(113&lt;=$B$7*12,113,"")</f>
        <v/>
      </c>
      <c r="B125" s="10">
        <f>IF(113&lt;=$B$7*12,F124,"")</f>
        <v/>
      </c>
      <c r="C125" s="10">
        <f>IF(113&lt;=$B$7*12,$B$8,"")</f>
        <v/>
      </c>
      <c r="D125" s="10">
        <f>IF(113&lt;=$B$7*12,B125*$B$6/12,"")</f>
        <v/>
      </c>
      <c r="E125" s="10">
        <f>IF(113&lt;=$B$7*12,C125-D125,"")</f>
        <v/>
      </c>
      <c r="F125" s="10">
        <f>IF(113&lt;=$B$7*12,MAX(0,B125-E125),"")</f>
        <v/>
      </c>
    </row>
    <row r="126">
      <c r="A126" s="4">
        <f>IF(114&lt;=$B$7*12,114,"")</f>
        <v/>
      </c>
      <c r="B126" s="10">
        <f>IF(114&lt;=$B$7*12,F125,"")</f>
        <v/>
      </c>
      <c r="C126" s="10">
        <f>IF(114&lt;=$B$7*12,$B$8,"")</f>
        <v/>
      </c>
      <c r="D126" s="10">
        <f>IF(114&lt;=$B$7*12,B126*$B$6/12,"")</f>
        <v/>
      </c>
      <c r="E126" s="10">
        <f>IF(114&lt;=$B$7*12,C126-D126,"")</f>
        <v/>
      </c>
      <c r="F126" s="10">
        <f>IF(114&lt;=$B$7*12,MAX(0,B126-E126),"")</f>
        <v/>
      </c>
    </row>
    <row r="127">
      <c r="A127" s="4">
        <f>IF(115&lt;=$B$7*12,115,"")</f>
        <v/>
      </c>
      <c r="B127" s="10">
        <f>IF(115&lt;=$B$7*12,F126,"")</f>
        <v/>
      </c>
      <c r="C127" s="10">
        <f>IF(115&lt;=$B$7*12,$B$8,"")</f>
        <v/>
      </c>
      <c r="D127" s="10">
        <f>IF(115&lt;=$B$7*12,B127*$B$6/12,"")</f>
        <v/>
      </c>
      <c r="E127" s="10">
        <f>IF(115&lt;=$B$7*12,C127-D127,"")</f>
        <v/>
      </c>
      <c r="F127" s="10">
        <f>IF(115&lt;=$B$7*12,MAX(0,B127-E127),"")</f>
        <v/>
      </c>
    </row>
    <row r="128">
      <c r="A128" s="4">
        <f>IF(116&lt;=$B$7*12,116,"")</f>
        <v/>
      </c>
      <c r="B128" s="10">
        <f>IF(116&lt;=$B$7*12,F127,"")</f>
        <v/>
      </c>
      <c r="C128" s="10">
        <f>IF(116&lt;=$B$7*12,$B$8,"")</f>
        <v/>
      </c>
      <c r="D128" s="10">
        <f>IF(116&lt;=$B$7*12,B128*$B$6/12,"")</f>
        <v/>
      </c>
      <c r="E128" s="10">
        <f>IF(116&lt;=$B$7*12,C128-D128,"")</f>
        <v/>
      </c>
      <c r="F128" s="10">
        <f>IF(116&lt;=$B$7*12,MAX(0,B128-E128),"")</f>
        <v/>
      </c>
    </row>
    <row r="129">
      <c r="A129" s="4">
        <f>IF(117&lt;=$B$7*12,117,"")</f>
        <v/>
      </c>
      <c r="B129" s="10">
        <f>IF(117&lt;=$B$7*12,F128,"")</f>
        <v/>
      </c>
      <c r="C129" s="10">
        <f>IF(117&lt;=$B$7*12,$B$8,"")</f>
        <v/>
      </c>
      <c r="D129" s="10">
        <f>IF(117&lt;=$B$7*12,B129*$B$6/12,"")</f>
        <v/>
      </c>
      <c r="E129" s="10">
        <f>IF(117&lt;=$B$7*12,C129-D129,"")</f>
        <v/>
      </c>
      <c r="F129" s="10">
        <f>IF(117&lt;=$B$7*12,MAX(0,B129-E129),"")</f>
        <v/>
      </c>
    </row>
    <row r="130">
      <c r="A130" s="4">
        <f>IF(118&lt;=$B$7*12,118,"")</f>
        <v/>
      </c>
      <c r="B130" s="10">
        <f>IF(118&lt;=$B$7*12,F129,"")</f>
        <v/>
      </c>
      <c r="C130" s="10">
        <f>IF(118&lt;=$B$7*12,$B$8,"")</f>
        <v/>
      </c>
      <c r="D130" s="10">
        <f>IF(118&lt;=$B$7*12,B130*$B$6/12,"")</f>
        <v/>
      </c>
      <c r="E130" s="10">
        <f>IF(118&lt;=$B$7*12,C130-D130,"")</f>
        <v/>
      </c>
      <c r="F130" s="10">
        <f>IF(118&lt;=$B$7*12,MAX(0,B130-E130),"")</f>
        <v/>
      </c>
    </row>
    <row r="131">
      <c r="A131" s="4">
        <f>IF(119&lt;=$B$7*12,119,"")</f>
        <v/>
      </c>
      <c r="B131" s="10">
        <f>IF(119&lt;=$B$7*12,F130,"")</f>
        <v/>
      </c>
      <c r="C131" s="10">
        <f>IF(119&lt;=$B$7*12,$B$8,"")</f>
        <v/>
      </c>
      <c r="D131" s="10">
        <f>IF(119&lt;=$B$7*12,B131*$B$6/12,"")</f>
        <v/>
      </c>
      <c r="E131" s="10">
        <f>IF(119&lt;=$B$7*12,C131-D131,"")</f>
        <v/>
      </c>
      <c r="F131" s="10">
        <f>IF(119&lt;=$B$7*12,MAX(0,B131-E131),"")</f>
        <v/>
      </c>
    </row>
    <row r="132">
      <c r="A132" s="4">
        <f>IF(120&lt;=$B$7*12,120,"")</f>
        <v/>
      </c>
      <c r="B132" s="10">
        <f>IF(120&lt;=$B$7*12,F131,"")</f>
        <v/>
      </c>
      <c r="C132" s="10">
        <f>IF(120&lt;=$B$7*12,$B$8,"")</f>
        <v/>
      </c>
      <c r="D132" s="10">
        <f>IF(120&lt;=$B$7*12,B132*$B$6/12,"")</f>
        <v/>
      </c>
      <c r="E132" s="10">
        <f>IF(120&lt;=$B$7*12,C132-D132,"")</f>
        <v/>
      </c>
      <c r="F132" s="10">
        <f>IF(120&lt;=$B$7*12,MAX(0,B132-E132),"")</f>
        <v/>
      </c>
    </row>
    <row r="133">
      <c r="A133" s="4">
        <f>IF(121&lt;=$B$7*12,121,"")</f>
        <v/>
      </c>
      <c r="B133" s="10">
        <f>IF(121&lt;=$B$7*12,F132,"")</f>
        <v/>
      </c>
      <c r="C133" s="10">
        <f>IF(121&lt;=$B$7*12,$B$8,"")</f>
        <v/>
      </c>
      <c r="D133" s="10">
        <f>IF(121&lt;=$B$7*12,B133*$B$6/12,"")</f>
        <v/>
      </c>
      <c r="E133" s="10">
        <f>IF(121&lt;=$B$7*12,C133-D133,"")</f>
        <v/>
      </c>
      <c r="F133" s="10">
        <f>IF(121&lt;=$B$7*12,MAX(0,B133-E133),"")</f>
        <v/>
      </c>
    </row>
    <row r="134">
      <c r="A134" s="4">
        <f>IF(122&lt;=$B$7*12,122,"")</f>
        <v/>
      </c>
      <c r="B134" s="10">
        <f>IF(122&lt;=$B$7*12,F133,"")</f>
        <v/>
      </c>
      <c r="C134" s="10">
        <f>IF(122&lt;=$B$7*12,$B$8,"")</f>
        <v/>
      </c>
      <c r="D134" s="10">
        <f>IF(122&lt;=$B$7*12,B134*$B$6/12,"")</f>
        <v/>
      </c>
      <c r="E134" s="10">
        <f>IF(122&lt;=$B$7*12,C134-D134,"")</f>
        <v/>
      </c>
      <c r="F134" s="10">
        <f>IF(122&lt;=$B$7*12,MAX(0,B134-E134),"")</f>
        <v/>
      </c>
    </row>
    <row r="135">
      <c r="A135" s="4">
        <f>IF(123&lt;=$B$7*12,123,"")</f>
        <v/>
      </c>
      <c r="B135" s="10">
        <f>IF(123&lt;=$B$7*12,F134,"")</f>
        <v/>
      </c>
      <c r="C135" s="10">
        <f>IF(123&lt;=$B$7*12,$B$8,"")</f>
        <v/>
      </c>
      <c r="D135" s="10">
        <f>IF(123&lt;=$B$7*12,B135*$B$6/12,"")</f>
        <v/>
      </c>
      <c r="E135" s="10">
        <f>IF(123&lt;=$B$7*12,C135-D135,"")</f>
        <v/>
      </c>
      <c r="F135" s="10">
        <f>IF(123&lt;=$B$7*12,MAX(0,B135-E135),"")</f>
        <v/>
      </c>
    </row>
    <row r="136">
      <c r="A136" s="4">
        <f>IF(124&lt;=$B$7*12,124,"")</f>
        <v/>
      </c>
      <c r="B136" s="10">
        <f>IF(124&lt;=$B$7*12,F135,"")</f>
        <v/>
      </c>
      <c r="C136" s="10">
        <f>IF(124&lt;=$B$7*12,$B$8,"")</f>
        <v/>
      </c>
      <c r="D136" s="10">
        <f>IF(124&lt;=$B$7*12,B136*$B$6/12,"")</f>
        <v/>
      </c>
      <c r="E136" s="10">
        <f>IF(124&lt;=$B$7*12,C136-D136,"")</f>
        <v/>
      </c>
      <c r="F136" s="10">
        <f>IF(124&lt;=$B$7*12,MAX(0,B136-E136),"")</f>
        <v/>
      </c>
    </row>
    <row r="137">
      <c r="A137" s="4">
        <f>IF(125&lt;=$B$7*12,125,"")</f>
        <v/>
      </c>
      <c r="B137" s="10">
        <f>IF(125&lt;=$B$7*12,F136,"")</f>
        <v/>
      </c>
      <c r="C137" s="10">
        <f>IF(125&lt;=$B$7*12,$B$8,"")</f>
        <v/>
      </c>
      <c r="D137" s="10">
        <f>IF(125&lt;=$B$7*12,B137*$B$6/12,"")</f>
        <v/>
      </c>
      <c r="E137" s="10">
        <f>IF(125&lt;=$B$7*12,C137-D137,"")</f>
        <v/>
      </c>
      <c r="F137" s="10">
        <f>IF(125&lt;=$B$7*12,MAX(0,B137-E137),"")</f>
        <v/>
      </c>
    </row>
    <row r="138">
      <c r="A138" s="4">
        <f>IF(126&lt;=$B$7*12,126,"")</f>
        <v/>
      </c>
      <c r="B138" s="10">
        <f>IF(126&lt;=$B$7*12,F137,"")</f>
        <v/>
      </c>
      <c r="C138" s="10">
        <f>IF(126&lt;=$B$7*12,$B$8,"")</f>
        <v/>
      </c>
      <c r="D138" s="10">
        <f>IF(126&lt;=$B$7*12,B138*$B$6/12,"")</f>
        <v/>
      </c>
      <c r="E138" s="10">
        <f>IF(126&lt;=$B$7*12,C138-D138,"")</f>
        <v/>
      </c>
      <c r="F138" s="10">
        <f>IF(126&lt;=$B$7*12,MAX(0,B138-E138),"")</f>
        <v/>
      </c>
    </row>
    <row r="139">
      <c r="A139" s="4">
        <f>IF(127&lt;=$B$7*12,127,"")</f>
        <v/>
      </c>
      <c r="B139" s="10">
        <f>IF(127&lt;=$B$7*12,F138,"")</f>
        <v/>
      </c>
      <c r="C139" s="10">
        <f>IF(127&lt;=$B$7*12,$B$8,"")</f>
        <v/>
      </c>
      <c r="D139" s="10">
        <f>IF(127&lt;=$B$7*12,B139*$B$6/12,"")</f>
        <v/>
      </c>
      <c r="E139" s="10">
        <f>IF(127&lt;=$B$7*12,C139-D139,"")</f>
        <v/>
      </c>
      <c r="F139" s="10">
        <f>IF(127&lt;=$B$7*12,MAX(0,B139-E139),"")</f>
        <v/>
      </c>
    </row>
    <row r="140">
      <c r="A140" s="4">
        <f>IF(128&lt;=$B$7*12,128,"")</f>
        <v/>
      </c>
      <c r="B140" s="10">
        <f>IF(128&lt;=$B$7*12,F139,"")</f>
        <v/>
      </c>
      <c r="C140" s="10">
        <f>IF(128&lt;=$B$7*12,$B$8,"")</f>
        <v/>
      </c>
      <c r="D140" s="10">
        <f>IF(128&lt;=$B$7*12,B140*$B$6/12,"")</f>
        <v/>
      </c>
      <c r="E140" s="10">
        <f>IF(128&lt;=$B$7*12,C140-D140,"")</f>
        <v/>
      </c>
      <c r="F140" s="10">
        <f>IF(128&lt;=$B$7*12,MAX(0,B140-E140),"")</f>
        <v/>
      </c>
    </row>
    <row r="141">
      <c r="A141" s="4">
        <f>IF(129&lt;=$B$7*12,129,"")</f>
        <v/>
      </c>
      <c r="B141" s="10">
        <f>IF(129&lt;=$B$7*12,F140,"")</f>
        <v/>
      </c>
      <c r="C141" s="10">
        <f>IF(129&lt;=$B$7*12,$B$8,"")</f>
        <v/>
      </c>
      <c r="D141" s="10">
        <f>IF(129&lt;=$B$7*12,B141*$B$6/12,"")</f>
        <v/>
      </c>
      <c r="E141" s="10">
        <f>IF(129&lt;=$B$7*12,C141-D141,"")</f>
        <v/>
      </c>
      <c r="F141" s="10">
        <f>IF(129&lt;=$B$7*12,MAX(0,B141-E141),"")</f>
        <v/>
      </c>
    </row>
    <row r="142">
      <c r="A142" s="4">
        <f>IF(130&lt;=$B$7*12,130,"")</f>
        <v/>
      </c>
      <c r="B142" s="10">
        <f>IF(130&lt;=$B$7*12,F141,"")</f>
        <v/>
      </c>
      <c r="C142" s="10">
        <f>IF(130&lt;=$B$7*12,$B$8,"")</f>
        <v/>
      </c>
      <c r="D142" s="10">
        <f>IF(130&lt;=$B$7*12,B142*$B$6/12,"")</f>
        <v/>
      </c>
      <c r="E142" s="10">
        <f>IF(130&lt;=$B$7*12,C142-D142,"")</f>
        <v/>
      </c>
      <c r="F142" s="10">
        <f>IF(130&lt;=$B$7*12,MAX(0,B142-E142),"")</f>
        <v/>
      </c>
    </row>
    <row r="143">
      <c r="A143" s="4">
        <f>IF(131&lt;=$B$7*12,131,"")</f>
        <v/>
      </c>
      <c r="B143" s="10">
        <f>IF(131&lt;=$B$7*12,F142,"")</f>
        <v/>
      </c>
      <c r="C143" s="10">
        <f>IF(131&lt;=$B$7*12,$B$8,"")</f>
        <v/>
      </c>
      <c r="D143" s="10">
        <f>IF(131&lt;=$B$7*12,B143*$B$6/12,"")</f>
        <v/>
      </c>
      <c r="E143" s="10">
        <f>IF(131&lt;=$B$7*12,C143-D143,"")</f>
        <v/>
      </c>
      <c r="F143" s="10">
        <f>IF(131&lt;=$B$7*12,MAX(0,B143-E143),"")</f>
        <v/>
      </c>
    </row>
    <row r="144">
      <c r="A144" s="4">
        <f>IF(132&lt;=$B$7*12,132,"")</f>
        <v/>
      </c>
      <c r="B144" s="10">
        <f>IF(132&lt;=$B$7*12,F143,"")</f>
        <v/>
      </c>
      <c r="C144" s="10">
        <f>IF(132&lt;=$B$7*12,$B$8,"")</f>
        <v/>
      </c>
      <c r="D144" s="10">
        <f>IF(132&lt;=$B$7*12,B144*$B$6/12,"")</f>
        <v/>
      </c>
      <c r="E144" s="10">
        <f>IF(132&lt;=$B$7*12,C144-D144,"")</f>
        <v/>
      </c>
      <c r="F144" s="10">
        <f>IF(132&lt;=$B$7*12,MAX(0,B144-E144),"")</f>
        <v/>
      </c>
    </row>
    <row r="145">
      <c r="A145" s="4">
        <f>IF(133&lt;=$B$7*12,133,"")</f>
        <v/>
      </c>
      <c r="B145" s="10">
        <f>IF(133&lt;=$B$7*12,F144,"")</f>
        <v/>
      </c>
      <c r="C145" s="10">
        <f>IF(133&lt;=$B$7*12,$B$8,"")</f>
        <v/>
      </c>
      <c r="D145" s="10">
        <f>IF(133&lt;=$B$7*12,B145*$B$6/12,"")</f>
        <v/>
      </c>
      <c r="E145" s="10">
        <f>IF(133&lt;=$B$7*12,C145-D145,"")</f>
        <v/>
      </c>
      <c r="F145" s="10">
        <f>IF(133&lt;=$B$7*12,MAX(0,B145-E145),"")</f>
        <v/>
      </c>
    </row>
    <row r="146">
      <c r="A146" s="4">
        <f>IF(134&lt;=$B$7*12,134,"")</f>
        <v/>
      </c>
      <c r="B146" s="10">
        <f>IF(134&lt;=$B$7*12,F145,"")</f>
        <v/>
      </c>
      <c r="C146" s="10">
        <f>IF(134&lt;=$B$7*12,$B$8,"")</f>
        <v/>
      </c>
      <c r="D146" s="10">
        <f>IF(134&lt;=$B$7*12,B146*$B$6/12,"")</f>
        <v/>
      </c>
      <c r="E146" s="10">
        <f>IF(134&lt;=$B$7*12,C146-D146,"")</f>
        <v/>
      </c>
      <c r="F146" s="10">
        <f>IF(134&lt;=$B$7*12,MAX(0,B146-E146),"")</f>
        <v/>
      </c>
    </row>
    <row r="147">
      <c r="A147" s="4">
        <f>IF(135&lt;=$B$7*12,135,"")</f>
        <v/>
      </c>
      <c r="B147" s="10">
        <f>IF(135&lt;=$B$7*12,F146,"")</f>
        <v/>
      </c>
      <c r="C147" s="10">
        <f>IF(135&lt;=$B$7*12,$B$8,"")</f>
        <v/>
      </c>
      <c r="D147" s="10">
        <f>IF(135&lt;=$B$7*12,B147*$B$6/12,"")</f>
        <v/>
      </c>
      <c r="E147" s="10">
        <f>IF(135&lt;=$B$7*12,C147-D147,"")</f>
        <v/>
      </c>
      <c r="F147" s="10">
        <f>IF(135&lt;=$B$7*12,MAX(0,B147-E147),"")</f>
        <v/>
      </c>
    </row>
    <row r="148">
      <c r="A148" s="4">
        <f>IF(136&lt;=$B$7*12,136,"")</f>
        <v/>
      </c>
      <c r="B148" s="10">
        <f>IF(136&lt;=$B$7*12,F147,"")</f>
        <v/>
      </c>
      <c r="C148" s="10">
        <f>IF(136&lt;=$B$7*12,$B$8,"")</f>
        <v/>
      </c>
      <c r="D148" s="10">
        <f>IF(136&lt;=$B$7*12,B148*$B$6/12,"")</f>
        <v/>
      </c>
      <c r="E148" s="10">
        <f>IF(136&lt;=$B$7*12,C148-D148,"")</f>
        <v/>
      </c>
      <c r="F148" s="10">
        <f>IF(136&lt;=$B$7*12,MAX(0,B148-E148),"")</f>
        <v/>
      </c>
    </row>
    <row r="149">
      <c r="A149" s="4">
        <f>IF(137&lt;=$B$7*12,137,"")</f>
        <v/>
      </c>
      <c r="B149" s="10">
        <f>IF(137&lt;=$B$7*12,F148,"")</f>
        <v/>
      </c>
      <c r="C149" s="10">
        <f>IF(137&lt;=$B$7*12,$B$8,"")</f>
        <v/>
      </c>
      <c r="D149" s="10">
        <f>IF(137&lt;=$B$7*12,B149*$B$6/12,"")</f>
        <v/>
      </c>
      <c r="E149" s="10">
        <f>IF(137&lt;=$B$7*12,C149-D149,"")</f>
        <v/>
      </c>
      <c r="F149" s="10">
        <f>IF(137&lt;=$B$7*12,MAX(0,B149-E149),"")</f>
        <v/>
      </c>
    </row>
    <row r="150">
      <c r="A150" s="4">
        <f>IF(138&lt;=$B$7*12,138,"")</f>
        <v/>
      </c>
      <c r="B150" s="10">
        <f>IF(138&lt;=$B$7*12,F149,"")</f>
        <v/>
      </c>
      <c r="C150" s="10">
        <f>IF(138&lt;=$B$7*12,$B$8,"")</f>
        <v/>
      </c>
      <c r="D150" s="10">
        <f>IF(138&lt;=$B$7*12,B150*$B$6/12,"")</f>
        <v/>
      </c>
      <c r="E150" s="10">
        <f>IF(138&lt;=$B$7*12,C150-D150,"")</f>
        <v/>
      </c>
      <c r="F150" s="10">
        <f>IF(138&lt;=$B$7*12,MAX(0,B150-E150),"")</f>
        <v/>
      </c>
    </row>
    <row r="151">
      <c r="A151" s="4">
        <f>IF(139&lt;=$B$7*12,139,"")</f>
        <v/>
      </c>
      <c r="B151" s="10">
        <f>IF(139&lt;=$B$7*12,F150,"")</f>
        <v/>
      </c>
      <c r="C151" s="10">
        <f>IF(139&lt;=$B$7*12,$B$8,"")</f>
        <v/>
      </c>
      <c r="D151" s="10">
        <f>IF(139&lt;=$B$7*12,B151*$B$6/12,"")</f>
        <v/>
      </c>
      <c r="E151" s="10">
        <f>IF(139&lt;=$B$7*12,C151-D151,"")</f>
        <v/>
      </c>
      <c r="F151" s="10">
        <f>IF(139&lt;=$B$7*12,MAX(0,B151-E151),"")</f>
        <v/>
      </c>
    </row>
    <row r="152">
      <c r="A152" s="4">
        <f>IF(140&lt;=$B$7*12,140,"")</f>
        <v/>
      </c>
      <c r="B152" s="10">
        <f>IF(140&lt;=$B$7*12,F151,"")</f>
        <v/>
      </c>
      <c r="C152" s="10">
        <f>IF(140&lt;=$B$7*12,$B$8,"")</f>
        <v/>
      </c>
      <c r="D152" s="10">
        <f>IF(140&lt;=$B$7*12,B152*$B$6/12,"")</f>
        <v/>
      </c>
      <c r="E152" s="10">
        <f>IF(140&lt;=$B$7*12,C152-D152,"")</f>
        <v/>
      </c>
      <c r="F152" s="10">
        <f>IF(140&lt;=$B$7*12,MAX(0,B152-E152),"")</f>
        <v/>
      </c>
    </row>
    <row r="153">
      <c r="A153" s="4">
        <f>IF(141&lt;=$B$7*12,141,"")</f>
        <v/>
      </c>
      <c r="B153" s="10">
        <f>IF(141&lt;=$B$7*12,F152,"")</f>
        <v/>
      </c>
      <c r="C153" s="10">
        <f>IF(141&lt;=$B$7*12,$B$8,"")</f>
        <v/>
      </c>
      <c r="D153" s="10">
        <f>IF(141&lt;=$B$7*12,B153*$B$6/12,"")</f>
        <v/>
      </c>
      <c r="E153" s="10">
        <f>IF(141&lt;=$B$7*12,C153-D153,"")</f>
        <v/>
      </c>
      <c r="F153" s="10">
        <f>IF(141&lt;=$B$7*12,MAX(0,B153-E153),"")</f>
        <v/>
      </c>
    </row>
    <row r="154">
      <c r="A154" s="4">
        <f>IF(142&lt;=$B$7*12,142,"")</f>
        <v/>
      </c>
      <c r="B154" s="10">
        <f>IF(142&lt;=$B$7*12,F153,"")</f>
        <v/>
      </c>
      <c r="C154" s="10">
        <f>IF(142&lt;=$B$7*12,$B$8,"")</f>
        <v/>
      </c>
      <c r="D154" s="10">
        <f>IF(142&lt;=$B$7*12,B154*$B$6/12,"")</f>
        <v/>
      </c>
      <c r="E154" s="10">
        <f>IF(142&lt;=$B$7*12,C154-D154,"")</f>
        <v/>
      </c>
      <c r="F154" s="10">
        <f>IF(142&lt;=$B$7*12,MAX(0,B154-E154),"")</f>
        <v/>
      </c>
    </row>
    <row r="155">
      <c r="A155" s="4">
        <f>IF(143&lt;=$B$7*12,143,"")</f>
        <v/>
      </c>
      <c r="B155" s="10">
        <f>IF(143&lt;=$B$7*12,F154,"")</f>
        <v/>
      </c>
      <c r="C155" s="10">
        <f>IF(143&lt;=$B$7*12,$B$8,"")</f>
        <v/>
      </c>
      <c r="D155" s="10">
        <f>IF(143&lt;=$B$7*12,B155*$B$6/12,"")</f>
        <v/>
      </c>
      <c r="E155" s="10">
        <f>IF(143&lt;=$B$7*12,C155-D155,"")</f>
        <v/>
      </c>
      <c r="F155" s="10">
        <f>IF(143&lt;=$B$7*12,MAX(0,B155-E155),"")</f>
        <v/>
      </c>
    </row>
    <row r="156">
      <c r="A156" s="4">
        <f>IF(144&lt;=$B$7*12,144,"")</f>
        <v/>
      </c>
      <c r="B156" s="10">
        <f>IF(144&lt;=$B$7*12,F155,"")</f>
        <v/>
      </c>
      <c r="C156" s="10">
        <f>IF(144&lt;=$B$7*12,$B$8,"")</f>
        <v/>
      </c>
      <c r="D156" s="10">
        <f>IF(144&lt;=$B$7*12,B156*$B$6/12,"")</f>
        <v/>
      </c>
      <c r="E156" s="10">
        <f>IF(144&lt;=$B$7*12,C156-D156,"")</f>
        <v/>
      </c>
      <c r="F156" s="10">
        <f>IF(144&lt;=$B$7*12,MAX(0,B156-E156),"")</f>
        <v/>
      </c>
    </row>
    <row r="157">
      <c r="A157" s="4">
        <f>IF(145&lt;=$B$7*12,145,"")</f>
        <v/>
      </c>
      <c r="B157" s="10">
        <f>IF(145&lt;=$B$7*12,F156,"")</f>
        <v/>
      </c>
      <c r="C157" s="10">
        <f>IF(145&lt;=$B$7*12,$B$8,"")</f>
        <v/>
      </c>
      <c r="D157" s="10">
        <f>IF(145&lt;=$B$7*12,B157*$B$6/12,"")</f>
        <v/>
      </c>
      <c r="E157" s="10">
        <f>IF(145&lt;=$B$7*12,C157-D157,"")</f>
        <v/>
      </c>
      <c r="F157" s="10">
        <f>IF(145&lt;=$B$7*12,MAX(0,B157-E157),"")</f>
        <v/>
      </c>
    </row>
    <row r="158">
      <c r="A158" s="4">
        <f>IF(146&lt;=$B$7*12,146,"")</f>
        <v/>
      </c>
      <c r="B158" s="10">
        <f>IF(146&lt;=$B$7*12,F157,"")</f>
        <v/>
      </c>
      <c r="C158" s="10">
        <f>IF(146&lt;=$B$7*12,$B$8,"")</f>
        <v/>
      </c>
      <c r="D158" s="10">
        <f>IF(146&lt;=$B$7*12,B158*$B$6/12,"")</f>
        <v/>
      </c>
      <c r="E158" s="10">
        <f>IF(146&lt;=$B$7*12,C158-D158,"")</f>
        <v/>
      </c>
      <c r="F158" s="10">
        <f>IF(146&lt;=$B$7*12,MAX(0,B158-E158),"")</f>
        <v/>
      </c>
    </row>
    <row r="159">
      <c r="A159" s="4">
        <f>IF(147&lt;=$B$7*12,147,"")</f>
        <v/>
      </c>
      <c r="B159" s="10">
        <f>IF(147&lt;=$B$7*12,F158,"")</f>
        <v/>
      </c>
      <c r="C159" s="10">
        <f>IF(147&lt;=$B$7*12,$B$8,"")</f>
        <v/>
      </c>
      <c r="D159" s="10">
        <f>IF(147&lt;=$B$7*12,B159*$B$6/12,"")</f>
        <v/>
      </c>
      <c r="E159" s="10">
        <f>IF(147&lt;=$B$7*12,C159-D159,"")</f>
        <v/>
      </c>
      <c r="F159" s="10">
        <f>IF(147&lt;=$B$7*12,MAX(0,B159-E159),"")</f>
        <v/>
      </c>
    </row>
    <row r="160">
      <c r="A160" s="4">
        <f>IF(148&lt;=$B$7*12,148,"")</f>
        <v/>
      </c>
      <c r="B160" s="10">
        <f>IF(148&lt;=$B$7*12,F159,"")</f>
        <v/>
      </c>
      <c r="C160" s="10">
        <f>IF(148&lt;=$B$7*12,$B$8,"")</f>
        <v/>
      </c>
      <c r="D160" s="10">
        <f>IF(148&lt;=$B$7*12,B160*$B$6/12,"")</f>
        <v/>
      </c>
      <c r="E160" s="10">
        <f>IF(148&lt;=$B$7*12,C160-D160,"")</f>
        <v/>
      </c>
      <c r="F160" s="10">
        <f>IF(148&lt;=$B$7*12,MAX(0,B160-E160),"")</f>
        <v/>
      </c>
    </row>
    <row r="161">
      <c r="A161" s="4">
        <f>IF(149&lt;=$B$7*12,149,"")</f>
        <v/>
      </c>
      <c r="B161" s="10">
        <f>IF(149&lt;=$B$7*12,F160,"")</f>
        <v/>
      </c>
      <c r="C161" s="10">
        <f>IF(149&lt;=$B$7*12,$B$8,"")</f>
        <v/>
      </c>
      <c r="D161" s="10">
        <f>IF(149&lt;=$B$7*12,B161*$B$6/12,"")</f>
        <v/>
      </c>
      <c r="E161" s="10">
        <f>IF(149&lt;=$B$7*12,C161-D161,"")</f>
        <v/>
      </c>
      <c r="F161" s="10">
        <f>IF(149&lt;=$B$7*12,MAX(0,B161-E161),"")</f>
        <v/>
      </c>
    </row>
    <row r="162">
      <c r="A162" s="4">
        <f>IF(150&lt;=$B$7*12,150,"")</f>
        <v/>
      </c>
      <c r="B162" s="10">
        <f>IF(150&lt;=$B$7*12,F161,"")</f>
        <v/>
      </c>
      <c r="C162" s="10">
        <f>IF(150&lt;=$B$7*12,$B$8,"")</f>
        <v/>
      </c>
      <c r="D162" s="10">
        <f>IF(150&lt;=$B$7*12,B162*$B$6/12,"")</f>
        <v/>
      </c>
      <c r="E162" s="10">
        <f>IF(150&lt;=$B$7*12,C162-D162,"")</f>
        <v/>
      </c>
      <c r="F162" s="10">
        <f>IF(150&lt;=$B$7*12,MAX(0,B162-E162),"")</f>
        <v/>
      </c>
    </row>
    <row r="163">
      <c r="A163" s="4">
        <f>IF(151&lt;=$B$7*12,151,"")</f>
        <v/>
      </c>
      <c r="B163" s="10">
        <f>IF(151&lt;=$B$7*12,F162,"")</f>
        <v/>
      </c>
      <c r="C163" s="10">
        <f>IF(151&lt;=$B$7*12,$B$8,"")</f>
        <v/>
      </c>
      <c r="D163" s="10">
        <f>IF(151&lt;=$B$7*12,B163*$B$6/12,"")</f>
        <v/>
      </c>
      <c r="E163" s="10">
        <f>IF(151&lt;=$B$7*12,C163-D163,"")</f>
        <v/>
      </c>
      <c r="F163" s="10">
        <f>IF(151&lt;=$B$7*12,MAX(0,B163-E163),"")</f>
        <v/>
      </c>
    </row>
    <row r="164">
      <c r="A164" s="4">
        <f>IF(152&lt;=$B$7*12,152,"")</f>
        <v/>
      </c>
      <c r="B164" s="10">
        <f>IF(152&lt;=$B$7*12,F163,"")</f>
        <v/>
      </c>
      <c r="C164" s="10">
        <f>IF(152&lt;=$B$7*12,$B$8,"")</f>
        <v/>
      </c>
      <c r="D164" s="10">
        <f>IF(152&lt;=$B$7*12,B164*$B$6/12,"")</f>
        <v/>
      </c>
      <c r="E164" s="10">
        <f>IF(152&lt;=$B$7*12,C164-D164,"")</f>
        <v/>
      </c>
      <c r="F164" s="10">
        <f>IF(152&lt;=$B$7*12,MAX(0,B164-E164),"")</f>
        <v/>
      </c>
    </row>
    <row r="165">
      <c r="A165" s="4">
        <f>IF(153&lt;=$B$7*12,153,"")</f>
        <v/>
      </c>
      <c r="B165" s="10">
        <f>IF(153&lt;=$B$7*12,F164,"")</f>
        <v/>
      </c>
      <c r="C165" s="10">
        <f>IF(153&lt;=$B$7*12,$B$8,"")</f>
        <v/>
      </c>
      <c r="D165" s="10">
        <f>IF(153&lt;=$B$7*12,B165*$B$6/12,"")</f>
        <v/>
      </c>
      <c r="E165" s="10">
        <f>IF(153&lt;=$B$7*12,C165-D165,"")</f>
        <v/>
      </c>
      <c r="F165" s="10">
        <f>IF(153&lt;=$B$7*12,MAX(0,B165-E165),"")</f>
        <v/>
      </c>
    </row>
    <row r="166">
      <c r="A166" s="4">
        <f>IF(154&lt;=$B$7*12,154,"")</f>
        <v/>
      </c>
      <c r="B166" s="10">
        <f>IF(154&lt;=$B$7*12,F165,"")</f>
        <v/>
      </c>
      <c r="C166" s="10">
        <f>IF(154&lt;=$B$7*12,$B$8,"")</f>
        <v/>
      </c>
      <c r="D166" s="10">
        <f>IF(154&lt;=$B$7*12,B166*$B$6/12,"")</f>
        <v/>
      </c>
      <c r="E166" s="10">
        <f>IF(154&lt;=$B$7*12,C166-D166,"")</f>
        <v/>
      </c>
      <c r="F166" s="10">
        <f>IF(154&lt;=$B$7*12,MAX(0,B166-E166),"")</f>
        <v/>
      </c>
    </row>
    <row r="167">
      <c r="A167" s="4">
        <f>IF(155&lt;=$B$7*12,155,"")</f>
        <v/>
      </c>
      <c r="B167" s="10">
        <f>IF(155&lt;=$B$7*12,F166,"")</f>
        <v/>
      </c>
      <c r="C167" s="10">
        <f>IF(155&lt;=$B$7*12,$B$8,"")</f>
        <v/>
      </c>
      <c r="D167" s="10">
        <f>IF(155&lt;=$B$7*12,B167*$B$6/12,"")</f>
        <v/>
      </c>
      <c r="E167" s="10">
        <f>IF(155&lt;=$B$7*12,C167-D167,"")</f>
        <v/>
      </c>
      <c r="F167" s="10">
        <f>IF(155&lt;=$B$7*12,MAX(0,B167-E167),"")</f>
        <v/>
      </c>
    </row>
    <row r="168">
      <c r="A168" s="4">
        <f>IF(156&lt;=$B$7*12,156,"")</f>
        <v/>
      </c>
      <c r="B168" s="10">
        <f>IF(156&lt;=$B$7*12,F167,"")</f>
        <v/>
      </c>
      <c r="C168" s="10">
        <f>IF(156&lt;=$B$7*12,$B$8,"")</f>
        <v/>
      </c>
      <c r="D168" s="10">
        <f>IF(156&lt;=$B$7*12,B168*$B$6/12,"")</f>
        <v/>
      </c>
      <c r="E168" s="10">
        <f>IF(156&lt;=$B$7*12,C168-D168,"")</f>
        <v/>
      </c>
      <c r="F168" s="10">
        <f>IF(156&lt;=$B$7*12,MAX(0,B168-E168),"")</f>
        <v/>
      </c>
    </row>
    <row r="169">
      <c r="A169" s="4">
        <f>IF(157&lt;=$B$7*12,157,"")</f>
        <v/>
      </c>
      <c r="B169" s="10">
        <f>IF(157&lt;=$B$7*12,F168,"")</f>
        <v/>
      </c>
      <c r="C169" s="10">
        <f>IF(157&lt;=$B$7*12,$B$8,"")</f>
        <v/>
      </c>
      <c r="D169" s="10">
        <f>IF(157&lt;=$B$7*12,B169*$B$6/12,"")</f>
        <v/>
      </c>
      <c r="E169" s="10">
        <f>IF(157&lt;=$B$7*12,C169-D169,"")</f>
        <v/>
      </c>
      <c r="F169" s="10">
        <f>IF(157&lt;=$B$7*12,MAX(0,B169-E169),"")</f>
        <v/>
      </c>
    </row>
    <row r="170">
      <c r="A170" s="4">
        <f>IF(158&lt;=$B$7*12,158,"")</f>
        <v/>
      </c>
      <c r="B170" s="10">
        <f>IF(158&lt;=$B$7*12,F169,"")</f>
        <v/>
      </c>
      <c r="C170" s="10">
        <f>IF(158&lt;=$B$7*12,$B$8,"")</f>
        <v/>
      </c>
      <c r="D170" s="10">
        <f>IF(158&lt;=$B$7*12,B170*$B$6/12,"")</f>
        <v/>
      </c>
      <c r="E170" s="10">
        <f>IF(158&lt;=$B$7*12,C170-D170,"")</f>
        <v/>
      </c>
      <c r="F170" s="10">
        <f>IF(158&lt;=$B$7*12,MAX(0,B170-E170),"")</f>
        <v/>
      </c>
    </row>
    <row r="171">
      <c r="A171" s="4">
        <f>IF(159&lt;=$B$7*12,159,"")</f>
        <v/>
      </c>
      <c r="B171" s="10">
        <f>IF(159&lt;=$B$7*12,F170,"")</f>
        <v/>
      </c>
      <c r="C171" s="10">
        <f>IF(159&lt;=$B$7*12,$B$8,"")</f>
        <v/>
      </c>
      <c r="D171" s="10">
        <f>IF(159&lt;=$B$7*12,B171*$B$6/12,"")</f>
        <v/>
      </c>
      <c r="E171" s="10">
        <f>IF(159&lt;=$B$7*12,C171-D171,"")</f>
        <v/>
      </c>
      <c r="F171" s="10">
        <f>IF(159&lt;=$B$7*12,MAX(0,B171-E171),"")</f>
        <v/>
      </c>
    </row>
    <row r="172">
      <c r="A172" s="4">
        <f>IF(160&lt;=$B$7*12,160,"")</f>
        <v/>
      </c>
      <c r="B172" s="10">
        <f>IF(160&lt;=$B$7*12,F171,"")</f>
        <v/>
      </c>
      <c r="C172" s="10">
        <f>IF(160&lt;=$B$7*12,$B$8,"")</f>
        <v/>
      </c>
      <c r="D172" s="10">
        <f>IF(160&lt;=$B$7*12,B172*$B$6/12,"")</f>
        <v/>
      </c>
      <c r="E172" s="10">
        <f>IF(160&lt;=$B$7*12,C172-D172,"")</f>
        <v/>
      </c>
      <c r="F172" s="10">
        <f>IF(160&lt;=$B$7*12,MAX(0,B172-E172),"")</f>
        <v/>
      </c>
    </row>
    <row r="173">
      <c r="A173" s="4">
        <f>IF(161&lt;=$B$7*12,161,"")</f>
        <v/>
      </c>
      <c r="B173" s="10">
        <f>IF(161&lt;=$B$7*12,F172,"")</f>
        <v/>
      </c>
      <c r="C173" s="10">
        <f>IF(161&lt;=$B$7*12,$B$8,"")</f>
        <v/>
      </c>
      <c r="D173" s="10">
        <f>IF(161&lt;=$B$7*12,B173*$B$6/12,"")</f>
        <v/>
      </c>
      <c r="E173" s="10">
        <f>IF(161&lt;=$B$7*12,C173-D173,"")</f>
        <v/>
      </c>
      <c r="F173" s="10">
        <f>IF(161&lt;=$B$7*12,MAX(0,B173-E173),"")</f>
        <v/>
      </c>
    </row>
    <row r="174">
      <c r="A174" s="4">
        <f>IF(162&lt;=$B$7*12,162,"")</f>
        <v/>
      </c>
      <c r="B174" s="10">
        <f>IF(162&lt;=$B$7*12,F173,"")</f>
        <v/>
      </c>
      <c r="C174" s="10">
        <f>IF(162&lt;=$B$7*12,$B$8,"")</f>
        <v/>
      </c>
      <c r="D174" s="10">
        <f>IF(162&lt;=$B$7*12,B174*$B$6/12,"")</f>
        <v/>
      </c>
      <c r="E174" s="10">
        <f>IF(162&lt;=$B$7*12,C174-D174,"")</f>
        <v/>
      </c>
      <c r="F174" s="10">
        <f>IF(162&lt;=$B$7*12,MAX(0,B174-E174),"")</f>
        <v/>
      </c>
    </row>
    <row r="175">
      <c r="A175" s="4">
        <f>IF(163&lt;=$B$7*12,163,"")</f>
        <v/>
      </c>
      <c r="B175" s="10">
        <f>IF(163&lt;=$B$7*12,F174,"")</f>
        <v/>
      </c>
      <c r="C175" s="10">
        <f>IF(163&lt;=$B$7*12,$B$8,"")</f>
        <v/>
      </c>
      <c r="D175" s="10">
        <f>IF(163&lt;=$B$7*12,B175*$B$6/12,"")</f>
        <v/>
      </c>
      <c r="E175" s="10">
        <f>IF(163&lt;=$B$7*12,C175-D175,"")</f>
        <v/>
      </c>
      <c r="F175" s="10">
        <f>IF(163&lt;=$B$7*12,MAX(0,B175-E175),"")</f>
        <v/>
      </c>
    </row>
    <row r="176">
      <c r="A176" s="4">
        <f>IF(164&lt;=$B$7*12,164,"")</f>
        <v/>
      </c>
      <c r="B176" s="10">
        <f>IF(164&lt;=$B$7*12,F175,"")</f>
        <v/>
      </c>
      <c r="C176" s="10">
        <f>IF(164&lt;=$B$7*12,$B$8,"")</f>
        <v/>
      </c>
      <c r="D176" s="10">
        <f>IF(164&lt;=$B$7*12,B176*$B$6/12,"")</f>
        <v/>
      </c>
      <c r="E176" s="10">
        <f>IF(164&lt;=$B$7*12,C176-D176,"")</f>
        <v/>
      </c>
      <c r="F176" s="10">
        <f>IF(164&lt;=$B$7*12,MAX(0,B176-E176),"")</f>
        <v/>
      </c>
    </row>
    <row r="177">
      <c r="A177" s="4">
        <f>IF(165&lt;=$B$7*12,165,"")</f>
        <v/>
      </c>
      <c r="B177" s="10">
        <f>IF(165&lt;=$B$7*12,F176,"")</f>
        <v/>
      </c>
      <c r="C177" s="10">
        <f>IF(165&lt;=$B$7*12,$B$8,"")</f>
        <v/>
      </c>
      <c r="D177" s="10">
        <f>IF(165&lt;=$B$7*12,B177*$B$6/12,"")</f>
        <v/>
      </c>
      <c r="E177" s="10">
        <f>IF(165&lt;=$B$7*12,C177-D177,"")</f>
        <v/>
      </c>
      <c r="F177" s="10">
        <f>IF(165&lt;=$B$7*12,MAX(0,B177-E177),"")</f>
        <v/>
      </c>
    </row>
    <row r="178">
      <c r="A178" s="4">
        <f>IF(166&lt;=$B$7*12,166,"")</f>
        <v/>
      </c>
      <c r="B178" s="10">
        <f>IF(166&lt;=$B$7*12,F177,"")</f>
        <v/>
      </c>
      <c r="C178" s="10">
        <f>IF(166&lt;=$B$7*12,$B$8,"")</f>
        <v/>
      </c>
      <c r="D178" s="10">
        <f>IF(166&lt;=$B$7*12,B178*$B$6/12,"")</f>
        <v/>
      </c>
      <c r="E178" s="10">
        <f>IF(166&lt;=$B$7*12,C178-D178,"")</f>
        <v/>
      </c>
      <c r="F178" s="10">
        <f>IF(166&lt;=$B$7*12,MAX(0,B178-E178),"")</f>
        <v/>
      </c>
    </row>
    <row r="179">
      <c r="A179" s="4">
        <f>IF(167&lt;=$B$7*12,167,"")</f>
        <v/>
      </c>
      <c r="B179" s="10">
        <f>IF(167&lt;=$B$7*12,F178,"")</f>
        <v/>
      </c>
      <c r="C179" s="10">
        <f>IF(167&lt;=$B$7*12,$B$8,"")</f>
        <v/>
      </c>
      <c r="D179" s="10">
        <f>IF(167&lt;=$B$7*12,B179*$B$6/12,"")</f>
        <v/>
      </c>
      <c r="E179" s="10">
        <f>IF(167&lt;=$B$7*12,C179-D179,"")</f>
        <v/>
      </c>
      <c r="F179" s="10">
        <f>IF(167&lt;=$B$7*12,MAX(0,B179-E179),"")</f>
        <v/>
      </c>
    </row>
    <row r="180">
      <c r="A180" s="4">
        <f>IF(168&lt;=$B$7*12,168,"")</f>
        <v/>
      </c>
      <c r="B180" s="10">
        <f>IF(168&lt;=$B$7*12,F179,"")</f>
        <v/>
      </c>
      <c r="C180" s="10">
        <f>IF(168&lt;=$B$7*12,$B$8,"")</f>
        <v/>
      </c>
      <c r="D180" s="10">
        <f>IF(168&lt;=$B$7*12,B180*$B$6/12,"")</f>
        <v/>
      </c>
      <c r="E180" s="10">
        <f>IF(168&lt;=$B$7*12,C180-D180,"")</f>
        <v/>
      </c>
      <c r="F180" s="10">
        <f>IF(168&lt;=$B$7*12,MAX(0,B180-E180),"")</f>
        <v/>
      </c>
    </row>
    <row r="181">
      <c r="A181" s="4">
        <f>IF(169&lt;=$B$7*12,169,"")</f>
        <v/>
      </c>
      <c r="B181" s="10">
        <f>IF(169&lt;=$B$7*12,F180,"")</f>
        <v/>
      </c>
      <c r="C181" s="10">
        <f>IF(169&lt;=$B$7*12,$B$8,"")</f>
        <v/>
      </c>
      <c r="D181" s="10">
        <f>IF(169&lt;=$B$7*12,B181*$B$6/12,"")</f>
        <v/>
      </c>
      <c r="E181" s="10">
        <f>IF(169&lt;=$B$7*12,C181-D181,"")</f>
        <v/>
      </c>
      <c r="F181" s="10">
        <f>IF(169&lt;=$B$7*12,MAX(0,B181-E181),"")</f>
        <v/>
      </c>
    </row>
    <row r="182">
      <c r="A182" s="4">
        <f>IF(170&lt;=$B$7*12,170,"")</f>
        <v/>
      </c>
      <c r="B182" s="10">
        <f>IF(170&lt;=$B$7*12,F181,"")</f>
        <v/>
      </c>
      <c r="C182" s="10">
        <f>IF(170&lt;=$B$7*12,$B$8,"")</f>
        <v/>
      </c>
      <c r="D182" s="10">
        <f>IF(170&lt;=$B$7*12,B182*$B$6/12,"")</f>
        <v/>
      </c>
      <c r="E182" s="10">
        <f>IF(170&lt;=$B$7*12,C182-D182,"")</f>
        <v/>
      </c>
      <c r="F182" s="10">
        <f>IF(170&lt;=$B$7*12,MAX(0,B182-E182),"")</f>
        <v/>
      </c>
    </row>
    <row r="183">
      <c r="A183" s="4">
        <f>IF(171&lt;=$B$7*12,171,"")</f>
        <v/>
      </c>
      <c r="B183" s="10">
        <f>IF(171&lt;=$B$7*12,F182,"")</f>
        <v/>
      </c>
      <c r="C183" s="10">
        <f>IF(171&lt;=$B$7*12,$B$8,"")</f>
        <v/>
      </c>
      <c r="D183" s="10">
        <f>IF(171&lt;=$B$7*12,B183*$B$6/12,"")</f>
        <v/>
      </c>
      <c r="E183" s="10">
        <f>IF(171&lt;=$B$7*12,C183-D183,"")</f>
        <v/>
      </c>
      <c r="F183" s="10">
        <f>IF(171&lt;=$B$7*12,MAX(0,B183-E183),"")</f>
        <v/>
      </c>
    </row>
    <row r="184">
      <c r="A184" s="4">
        <f>IF(172&lt;=$B$7*12,172,"")</f>
        <v/>
      </c>
      <c r="B184" s="10">
        <f>IF(172&lt;=$B$7*12,F183,"")</f>
        <v/>
      </c>
      <c r="C184" s="10">
        <f>IF(172&lt;=$B$7*12,$B$8,"")</f>
        <v/>
      </c>
      <c r="D184" s="10">
        <f>IF(172&lt;=$B$7*12,B184*$B$6/12,"")</f>
        <v/>
      </c>
      <c r="E184" s="10">
        <f>IF(172&lt;=$B$7*12,C184-D184,"")</f>
        <v/>
      </c>
      <c r="F184" s="10">
        <f>IF(172&lt;=$B$7*12,MAX(0,B184-E184),"")</f>
        <v/>
      </c>
    </row>
    <row r="185">
      <c r="A185" s="4">
        <f>IF(173&lt;=$B$7*12,173,"")</f>
        <v/>
      </c>
      <c r="B185" s="10">
        <f>IF(173&lt;=$B$7*12,F184,"")</f>
        <v/>
      </c>
      <c r="C185" s="10">
        <f>IF(173&lt;=$B$7*12,$B$8,"")</f>
        <v/>
      </c>
      <c r="D185" s="10">
        <f>IF(173&lt;=$B$7*12,B185*$B$6/12,"")</f>
        <v/>
      </c>
      <c r="E185" s="10">
        <f>IF(173&lt;=$B$7*12,C185-D185,"")</f>
        <v/>
      </c>
      <c r="F185" s="10">
        <f>IF(173&lt;=$B$7*12,MAX(0,B185-E185),"")</f>
        <v/>
      </c>
    </row>
    <row r="186">
      <c r="A186" s="4">
        <f>IF(174&lt;=$B$7*12,174,"")</f>
        <v/>
      </c>
      <c r="B186" s="10">
        <f>IF(174&lt;=$B$7*12,F185,"")</f>
        <v/>
      </c>
      <c r="C186" s="10">
        <f>IF(174&lt;=$B$7*12,$B$8,"")</f>
        <v/>
      </c>
      <c r="D186" s="10">
        <f>IF(174&lt;=$B$7*12,B186*$B$6/12,"")</f>
        <v/>
      </c>
      <c r="E186" s="10">
        <f>IF(174&lt;=$B$7*12,C186-D186,"")</f>
        <v/>
      </c>
      <c r="F186" s="10">
        <f>IF(174&lt;=$B$7*12,MAX(0,B186-E186),"")</f>
        <v/>
      </c>
    </row>
    <row r="187">
      <c r="A187" s="4">
        <f>IF(175&lt;=$B$7*12,175,"")</f>
        <v/>
      </c>
      <c r="B187" s="10">
        <f>IF(175&lt;=$B$7*12,F186,"")</f>
        <v/>
      </c>
      <c r="C187" s="10">
        <f>IF(175&lt;=$B$7*12,$B$8,"")</f>
        <v/>
      </c>
      <c r="D187" s="10">
        <f>IF(175&lt;=$B$7*12,B187*$B$6/12,"")</f>
        <v/>
      </c>
      <c r="E187" s="10">
        <f>IF(175&lt;=$B$7*12,C187-D187,"")</f>
        <v/>
      </c>
      <c r="F187" s="10">
        <f>IF(175&lt;=$B$7*12,MAX(0,B187-E187),"")</f>
        <v/>
      </c>
    </row>
    <row r="188">
      <c r="A188" s="4">
        <f>IF(176&lt;=$B$7*12,176,"")</f>
        <v/>
      </c>
      <c r="B188" s="10">
        <f>IF(176&lt;=$B$7*12,F187,"")</f>
        <v/>
      </c>
      <c r="C188" s="10">
        <f>IF(176&lt;=$B$7*12,$B$8,"")</f>
        <v/>
      </c>
      <c r="D188" s="10">
        <f>IF(176&lt;=$B$7*12,B188*$B$6/12,"")</f>
        <v/>
      </c>
      <c r="E188" s="10">
        <f>IF(176&lt;=$B$7*12,C188-D188,"")</f>
        <v/>
      </c>
      <c r="F188" s="10">
        <f>IF(176&lt;=$B$7*12,MAX(0,B188-E188),"")</f>
        <v/>
      </c>
    </row>
    <row r="189">
      <c r="A189" s="4">
        <f>IF(177&lt;=$B$7*12,177,"")</f>
        <v/>
      </c>
      <c r="B189" s="10">
        <f>IF(177&lt;=$B$7*12,F188,"")</f>
        <v/>
      </c>
      <c r="C189" s="10">
        <f>IF(177&lt;=$B$7*12,$B$8,"")</f>
        <v/>
      </c>
      <c r="D189" s="10">
        <f>IF(177&lt;=$B$7*12,B189*$B$6/12,"")</f>
        <v/>
      </c>
      <c r="E189" s="10">
        <f>IF(177&lt;=$B$7*12,C189-D189,"")</f>
        <v/>
      </c>
      <c r="F189" s="10">
        <f>IF(177&lt;=$B$7*12,MAX(0,B189-E189),"")</f>
        <v/>
      </c>
    </row>
    <row r="190">
      <c r="A190" s="4">
        <f>IF(178&lt;=$B$7*12,178,"")</f>
        <v/>
      </c>
      <c r="B190" s="10">
        <f>IF(178&lt;=$B$7*12,F189,"")</f>
        <v/>
      </c>
      <c r="C190" s="10">
        <f>IF(178&lt;=$B$7*12,$B$8,"")</f>
        <v/>
      </c>
      <c r="D190" s="10">
        <f>IF(178&lt;=$B$7*12,B190*$B$6/12,"")</f>
        <v/>
      </c>
      <c r="E190" s="10">
        <f>IF(178&lt;=$B$7*12,C190-D190,"")</f>
        <v/>
      </c>
      <c r="F190" s="10">
        <f>IF(178&lt;=$B$7*12,MAX(0,B190-E190),"")</f>
        <v/>
      </c>
    </row>
    <row r="191">
      <c r="A191" s="4">
        <f>IF(179&lt;=$B$7*12,179,"")</f>
        <v/>
      </c>
      <c r="B191" s="10">
        <f>IF(179&lt;=$B$7*12,F190,"")</f>
        <v/>
      </c>
      <c r="C191" s="10">
        <f>IF(179&lt;=$B$7*12,$B$8,"")</f>
        <v/>
      </c>
      <c r="D191" s="10">
        <f>IF(179&lt;=$B$7*12,B191*$B$6/12,"")</f>
        <v/>
      </c>
      <c r="E191" s="10">
        <f>IF(179&lt;=$B$7*12,C191-D191,"")</f>
        <v/>
      </c>
      <c r="F191" s="10">
        <f>IF(179&lt;=$B$7*12,MAX(0,B191-E191),"")</f>
        <v/>
      </c>
    </row>
    <row r="192">
      <c r="A192" s="4">
        <f>IF(180&lt;=$B$7*12,180,"")</f>
        <v/>
      </c>
      <c r="B192" s="10">
        <f>IF(180&lt;=$B$7*12,F191,"")</f>
        <v/>
      </c>
      <c r="C192" s="10">
        <f>IF(180&lt;=$B$7*12,$B$8,"")</f>
        <v/>
      </c>
      <c r="D192" s="10">
        <f>IF(180&lt;=$B$7*12,B192*$B$6/12,"")</f>
        <v/>
      </c>
      <c r="E192" s="10">
        <f>IF(180&lt;=$B$7*12,C192-D192,"")</f>
        <v/>
      </c>
      <c r="F192" s="10">
        <f>IF(180&lt;=$B$7*12,MAX(0,B192-E192),"")</f>
        <v/>
      </c>
    </row>
    <row r="193">
      <c r="A193" s="4">
        <f>IF(181&lt;=$B$7*12,181,"")</f>
        <v/>
      </c>
      <c r="B193" s="10">
        <f>IF(181&lt;=$B$7*12,F192,"")</f>
        <v/>
      </c>
      <c r="C193" s="10">
        <f>IF(181&lt;=$B$7*12,$B$8,"")</f>
        <v/>
      </c>
      <c r="D193" s="10">
        <f>IF(181&lt;=$B$7*12,B193*$B$6/12,"")</f>
        <v/>
      </c>
      <c r="E193" s="10">
        <f>IF(181&lt;=$B$7*12,C193-D193,"")</f>
        <v/>
      </c>
      <c r="F193" s="10">
        <f>IF(181&lt;=$B$7*12,MAX(0,B193-E193),"")</f>
        <v/>
      </c>
    </row>
    <row r="194">
      <c r="A194" s="4">
        <f>IF(182&lt;=$B$7*12,182,"")</f>
        <v/>
      </c>
      <c r="B194" s="10">
        <f>IF(182&lt;=$B$7*12,F193,"")</f>
        <v/>
      </c>
      <c r="C194" s="10">
        <f>IF(182&lt;=$B$7*12,$B$8,"")</f>
        <v/>
      </c>
      <c r="D194" s="10">
        <f>IF(182&lt;=$B$7*12,B194*$B$6/12,"")</f>
        <v/>
      </c>
      <c r="E194" s="10">
        <f>IF(182&lt;=$B$7*12,C194-D194,"")</f>
        <v/>
      </c>
      <c r="F194" s="10">
        <f>IF(182&lt;=$B$7*12,MAX(0,B194-E194),"")</f>
        <v/>
      </c>
    </row>
    <row r="195">
      <c r="A195" s="4">
        <f>IF(183&lt;=$B$7*12,183,"")</f>
        <v/>
      </c>
      <c r="B195" s="10">
        <f>IF(183&lt;=$B$7*12,F194,"")</f>
        <v/>
      </c>
      <c r="C195" s="10">
        <f>IF(183&lt;=$B$7*12,$B$8,"")</f>
        <v/>
      </c>
      <c r="D195" s="10">
        <f>IF(183&lt;=$B$7*12,B195*$B$6/12,"")</f>
        <v/>
      </c>
      <c r="E195" s="10">
        <f>IF(183&lt;=$B$7*12,C195-D195,"")</f>
        <v/>
      </c>
      <c r="F195" s="10">
        <f>IF(183&lt;=$B$7*12,MAX(0,B195-E195),"")</f>
        <v/>
      </c>
    </row>
    <row r="196">
      <c r="A196" s="4">
        <f>IF(184&lt;=$B$7*12,184,"")</f>
        <v/>
      </c>
      <c r="B196" s="10">
        <f>IF(184&lt;=$B$7*12,F195,"")</f>
        <v/>
      </c>
      <c r="C196" s="10">
        <f>IF(184&lt;=$B$7*12,$B$8,"")</f>
        <v/>
      </c>
      <c r="D196" s="10">
        <f>IF(184&lt;=$B$7*12,B196*$B$6/12,"")</f>
        <v/>
      </c>
      <c r="E196" s="10">
        <f>IF(184&lt;=$B$7*12,C196-D196,"")</f>
        <v/>
      </c>
      <c r="F196" s="10">
        <f>IF(184&lt;=$B$7*12,MAX(0,B196-E196),"")</f>
        <v/>
      </c>
    </row>
    <row r="197">
      <c r="A197" s="4">
        <f>IF(185&lt;=$B$7*12,185,"")</f>
        <v/>
      </c>
      <c r="B197" s="10">
        <f>IF(185&lt;=$B$7*12,F196,"")</f>
        <v/>
      </c>
      <c r="C197" s="10">
        <f>IF(185&lt;=$B$7*12,$B$8,"")</f>
        <v/>
      </c>
      <c r="D197" s="10">
        <f>IF(185&lt;=$B$7*12,B197*$B$6/12,"")</f>
        <v/>
      </c>
      <c r="E197" s="10">
        <f>IF(185&lt;=$B$7*12,C197-D197,"")</f>
        <v/>
      </c>
      <c r="F197" s="10">
        <f>IF(185&lt;=$B$7*12,MAX(0,B197-E197),"")</f>
        <v/>
      </c>
    </row>
    <row r="198">
      <c r="A198" s="4">
        <f>IF(186&lt;=$B$7*12,186,"")</f>
        <v/>
      </c>
      <c r="B198" s="10">
        <f>IF(186&lt;=$B$7*12,F197,"")</f>
        <v/>
      </c>
      <c r="C198" s="10">
        <f>IF(186&lt;=$B$7*12,$B$8,"")</f>
        <v/>
      </c>
      <c r="D198" s="10">
        <f>IF(186&lt;=$B$7*12,B198*$B$6/12,"")</f>
        <v/>
      </c>
      <c r="E198" s="10">
        <f>IF(186&lt;=$B$7*12,C198-D198,"")</f>
        <v/>
      </c>
      <c r="F198" s="10">
        <f>IF(186&lt;=$B$7*12,MAX(0,B198-E198),"")</f>
        <v/>
      </c>
    </row>
    <row r="199">
      <c r="A199" s="4">
        <f>IF(187&lt;=$B$7*12,187,"")</f>
        <v/>
      </c>
      <c r="B199" s="10">
        <f>IF(187&lt;=$B$7*12,F198,"")</f>
        <v/>
      </c>
      <c r="C199" s="10">
        <f>IF(187&lt;=$B$7*12,$B$8,"")</f>
        <v/>
      </c>
      <c r="D199" s="10">
        <f>IF(187&lt;=$B$7*12,B199*$B$6/12,"")</f>
        <v/>
      </c>
      <c r="E199" s="10">
        <f>IF(187&lt;=$B$7*12,C199-D199,"")</f>
        <v/>
      </c>
      <c r="F199" s="10">
        <f>IF(187&lt;=$B$7*12,MAX(0,B199-E199),"")</f>
        <v/>
      </c>
    </row>
    <row r="200">
      <c r="A200" s="4">
        <f>IF(188&lt;=$B$7*12,188,"")</f>
        <v/>
      </c>
      <c r="B200" s="10">
        <f>IF(188&lt;=$B$7*12,F199,"")</f>
        <v/>
      </c>
      <c r="C200" s="10">
        <f>IF(188&lt;=$B$7*12,$B$8,"")</f>
        <v/>
      </c>
      <c r="D200" s="10">
        <f>IF(188&lt;=$B$7*12,B200*$B$6/12,"")</f>
        <v/>
      </c>
      <c r="E200" s="10">
        <f>IF(188&lt;=$B$7*12,C200-D200,"")</f>
        <v/>
      </c>
      <c r="F200" s="10">
        <f>IF(188&lt;=$B$7*12,MAX(0,B200-E200),"")</f>
        <v/>
      </c>
    </row>
    <row r="201">
      <c r="A201" s="4">
        <f>IF(189&lt;=$B$7*12,189,"")</f>
        <v/>
      </c>
      <c r="B201" s="10">
        <f>IF(189&lt;=$B$7*12,F200,"")</f>
        <v/>
      </c>
      <c r="C201" s="10">
        <f>IF(189&lt;=$B$7*12,$B$8,"")</f>
        <v/>
      </c>
      <c r="D201" s="10">
        <f>IF(189&lt;=$B$7*12,B201*$B$6/12,"")</f>
        <v/>
      </c>
      <c r="E201" s="10">
        <f>IF(189&lt;=$B$7*12,C201-D201,"")</f>
        <v/>
      </c>
      <c r="F201" s="10">
        <f>IF(189&lt;=$B$7*12,MAX(0,B201-E201),"")</f>
        <v/>
      </c>
    </row>
    <row r="202">
      <c r="A202" s="4">
        <f>IF(190&lt;=$B$7*12,190,"")</f>
        <v/>
      </c>
      <c r="B202" s="10">
        <f>IF(190&lt;=$B$7*12,F201,"")</f>
        <v/>
      </c>
      <c r="C202" s="10">
        <f>IF(190&lt;=$B$7*12,$B$8,"")</f>
        <v/>
      </c>
      <c r="D202" s="10">
        <f>IF(190&lt;=$B$7*12,B202*$B$6/12,"")</f>
        <v/>
      </c>
      <c r="E202" s="10">
        <f>IF(190&lt;=$B$7*12,C202-D202,"")</f>
        <v/>
      </c>
      <c r="F202" s="10">
        <f>IF(190&lt;=$B$7*12,MAX(0,B202-E202),"")</f>
        <v/>
      </c>
    </row>
    <row r="203">
      <c r="A203" s="4">
        <f>IF(191&lt;=$B$7*12,191,"")</f>
        <v/>
      </c>
      <c r="B203" s="10">
        <f>IF(191&lt;=$B$7*12,F202,"")</f>
        <v/>
      </c>
      <c r="C203" s="10">
        <f>IF(191&lt;=$B$7*12,$B$8,"")</f>
        <v/>
      </c>
      <c r="D203" s="10">
        <f>IF(191&lt;=$B$7*12,B203*$B$6/12,"")</f>
        <v/>
      </c>
      <c r="E203" s="10">
        <f>IF(191&lt;=$B$7*12,C203-D203,"")</f>
        <v/>
      </c>
      <c r="F203" s="10">
        <f>IF(191&lt;=$B$7*12,MAX(0,B203-E203),"")</f>
        <v/>
      </c>
    </row>
    <row r="204">
      <c r="A204" s="4">
        <f>IF(192&lt;=$B$7*12,192,"")</f>
        <v/>
      </c>
      <c r="B204" s="10">
        <f>IF(192&lt;=$B$7*12,F203,"")</f>
        <v/>
      </c>
      <c r="C204" s="10">
        <f>IF(192&lt;=$B$7*12,$B$8,"")</f>
        <v/>
      </c>
      <c r="D204" s="10">
        <f>IF(192&lt;=$B$7*12,B204*$B$6/12,"")</f>
        <v/>
      </c>
      <c r="E204" s="10">
        <f>IF(192&lt;=$B$7*12,C204-D204,"")</f>
        <v/>
      </c>
      <c r="F204" s="10">
        <f>IF(192&lt;=$B$7*12,MAX(0,B204-E204),"")</f>
        <v/>
      </c>
    </row>
    <row r="205">
      <c r="A205" s="4">
        <f>IF(193&lt;=$B$7*12,193,"")</f>
        <v/>
      </c>
      <c r="B205" s="10">
        <f>IF(193&lt;=$B$7*12,F204,"")</f>
        <v/>
      </c>
      <c r="C205" s="10">
        <f>IF(193&lt;=$B$7*12,$B$8,"")</f>
        <v/>
      </c>
      <c r="D205" s="10">
        <f>IF(193&lt;=$B$7*12,B205*$B$6/12,"")</f>
        <v/>
      </c>
      <c r="E205" s="10">
        <f>IF(193&lt;=$B$7*12,C205-D205,"")</f>
        <v/>
      </c>
      <c r="F205" s="10">
        <f>IF(193&lt;=$B$7*12,MAX(0,B205-E205),"")</f>
        <v/>
      </c>
    </row>
    <row r="206">
      <c r="A206" s="4">
        <f>IF(194&lt;=$B$7*12,194,"")</f>
        <v/>
      </c>
      <c r="B206" s="10">
        <f>IF(194&lt;=$B$7*12,F205,"")</f>
        <v/>
      </c>
      <c r="C206" s="10">
        <f>IF(194&lt;=$B$7*12,$B$8,"")</f>
        <v/>
      </c>
      <c r="D206" s="10">
        <f>IF(194&lt;=$B$7*12,B206*$B$6/12,"")</f>
        <v/>
      </c>
      <c r="E206" s="10">
        <f>IF(194&lt;=$B$7*12,C206-D206,"")</f>
        <v/>
      </c>
      <c r="F206" s="10">
        <f>IF(194&lt;=$B$7*12,MAX(0,B206-E206),"")</f>
        <v/>
      </c>
    </row>
    <row r="207">
      <c r="A207" s="4">
        <f>IF(195&lt;=$B$7*12,195,"")</f>
        <v/>
      </c>
      <c r="B207" s="10">
        <f>IF(195&lt;=$B$7*12,F206,"")</f>
        <v/>
      </c>
      <c r="C207" s="10">
        <f>IF(195&lt;=$B$7*12,$B$8,"")</f>
        <v/>
      </c>
      <c r="D207" s="10">
        <f>IF(195&lt;=$B$7*12,B207*$B$6/12,"")</f>
        <v/>
      </c>
      <c r="E207" s="10">
        <f>IF(195&lt;=$B$7*12,C207-D207,"")</f>
        <v/>
      </c>
      <c r="F207" s="10">
        <f>IF(195&lt;=$B$7*12,MAX(0,B207-E207),"")</f>
        <v/>
      </c>
    </row>
    <row r="208">
      <c r="A208" s="4">
        <f>IF(196&lt;=$B$7*12,196,"")</f>
        <v/>
      </c>
      <c r="B208" s="10">
        <f>IF(196&lt;=$B$7*12,F207,"")</f>
        <v/>
      </c>
      <c r="C208" s="10">
        <f>IF(196&lt;=$B$7*12,$B$8,"")</f>
        <v/>
      </c>
      <c r="D208" s="10">
        <f>IF(196&lt;=$B$7*12,B208*$B$6/12,"")</f>
        <v/>
      </c>
      <c r="E208" s="10">
        <f>IF(196&lt;=$B$7*12,C208-D208,"")</f>
        <v/>
      </c>
      <c r="F208" s="10">
        <f>IF(196&lt;=$B$7*12,MAX(0,B208-E208),"")</f>
        <v/>
      </c>
    </row>
    <row r="209">
      <c r="A209" s="4">
        <f>IF(197&lt;=$B$7*12,197,"")</f>
        <v/>
      </c>
      <c r="B209" s="10">
        <f>IF(197&lt;=$B$7*12,F208,"")</f>
        <v/>
      </c>
      <c r="C209" s="10">
        <f>IF(197&lt;=$B$7*12,$B$8,"")</f>
        <v/>
      </c>
      <c r="D209" s="10">
        <f>IF(197&lt;=$B$7*12,B209*$B$6/12,"")</f>
        <v/>
      </c>
      <c r="E209" s="10">
        <f>IF(197&lt;=$B$7*12,C209-D209,"")</f>
        <v/>
      </c>
      <c r="F209" s="10">
        <f>IF(197&lt;=$B$7*12,MAX(0,B209-E209),"")</f>
        <v/>
      </c>
    </row>
    <row r="210">
      <c r="A210" s="4">
        <f>IF(198&lt;=$B$7*12,198,"")</f>
        <v/>
      </c>
      <c r="B210" s="10">
        <f>IF(198&lt;=$B$7*12,F209,"")</f>
        <v/>
      </c>
      <c r="C210" s="10">
        <f>IF(198&lt;=$B$7*12,$B$8,"")</f>
        <v/>
      </c>
      <c r="D210" s="10">
        <f>IF(198&lt;=$B$7*12,B210*$B$6/12,"")</f>
        <v/>
      </c>
      <c r="E210" s="10">
        <f>IF(198&lt;=$B$7*12,C210-D210,"")</f>
        <v/>
      </c>
      <c r="F210" s="10">
        <f>IF(198&lt;=$B$7*12,MAX(0,B210-E210),"")</f>
        <v/>
      </c>
    </row>
    <row r="211">
      <c r="A211" s="4">
        <f>IF(199&lt;=$B$7*12,199,"")</f>
        <v/>
      </c>
      <c r="B211" s="10">
        <f>IF(199&lt;=$B$7*12,F210,"")</f>
        <v/>
      </c>
      <c r="C211" s="10">
        <f>IF(199&lt;=$B$7*12,$B$8,"")</f>
        <v/>
      </c>
      <c r="D211" s="10">
        <f>IF(199&lt;=$B$7*12,B211*$B$6/12,"")</f>
        <v/>
      </c>
      <c r="E211" s="10">
        <f>IF(199&lt;=$B$7*12,C211-D211,"")</f>
        <v/>
      </c>
      <c r="F211" s="10">
        <f>IF(199&lt;=$B$7*12,MAX(0,B211-E211),"")</f>
        <v/>
      </c>
    </row>
    <row r="212">
      <c r="A212" s="4">
        <f>IF(200&lt;=$B$7*12,200,"")</f>
        <v/>
      </c>
      <c r="B212" s="10">
        <f>IF(200&lt;=$B$7*12,F211,"")</f>
        <v/>
      </c>
      <c r="C212" s="10">
        <f>IF(200&lt;=$B$7*12,$B$8,"")</f>
        <v/>
      </c>
      <c r="D212" s="10">
        <f>IF(200&lt;=$B$7*12,B212*$B$6/12,"")</f>
        <v/>
      </c>
      <c r="E212" s="10">
        <f>IF(200&lt;=$B$7*12,C212-D212,"")</f>
        <v/>
      </c>
      <c r="F212" s="10">
        <f>IF(200&lt;=$B$7*12,MAX(0,B212-E212),"")</f>
        <v/>
      </c>
    </row>
    <row r="213">
      <c r="A213" s="4">
        <f>IF(201&lt;=$B$7*12,201,"")</f>
        <v/>
      </c>
      <c r="B213" s="10">
        <f>IF(201&lt;=$B$7*12,F212,"")</f>
        <v/>
      </c>
      <c r="C213" s="10">
        <f>IF(201&lt;=$B$7*12,$B$8,"")</f>
        <v/>
      </c>
      <c r="D213" s="10">
        <f>IF(201&lt;=$B$7*12,B213*$B$6/12,"")</f>
        <v/>
      </c>
      <c r="E213" s="10">
        <f>IF(201&lt;=$B$7*12,C213-D213,"")</f>
        <v/>
      </c>
      <c r="F213" s="10">
        <f>IF(201&lt;=$B$7*12,MAX(0,B213-E213),"")</f>
        <v/>
      </c>
    </row>
    <row r="214">
      <c r="A214" s="4">
        <f>IF(202&lt;=$B$7*12,202,"")</f>
        <v/>
      </c>
      <c r="B214" s="10">
        <f>IF(202&lt;=$B$7*12,F213,"")</f>
        <v/>
      </c>
      <c r="C214" s="10">
        <f>IF(202&lt;=$B$7*12,$B$8,"")</f>
        <v/>
      </c>
      <c r="D214" s="10">
        <f>IF(202&lt;=$B$7*12,B214*$B$6/12,"")</f>
        <v/>
      </c>
      <c r="E214" s="10">
        <f>IF(202&lt;=$B$7*12,C214-D214,"")</f>
        <v/>
      </c>
      <c r="F214" s="10">
        <f>IF(202&lt;=$B$7*12,MAX(0,B214-E214),"")</f>
        <v/>
      </c>
    </row>
    <row r="215">
      <c r="A215" s="4">
        <f>IF(203&lt;=$B$7*12,203,"")</f>
        <v/>
      </c>
      <c r="B215" s="10">
        <f>IF(203&lt;=$B$7*12,F214,"")</f>
        <v/>
      </c>
      <c r="C215" s="10">
        <f>IF(203&lt;=$B$7*12,$B$8,"")</f>
        <v/>
      </c>
      <c r="D215" s="10">
        <f>IF(203&lt;=$B$7*12,B215*$B$6/12,"")</f>
        <v/>
      </c>
      <c r="E215" s="10">
        <f>IF(203&lt;=$B$7*12,C215-D215,"")</f>
        <v/>
      </c>
      <c r="F215" s="10">
        <f>IF(203&lt;=$B$7*12,MAX(0,B215-E215),"")</f>
        <v/>
      </c>
    </row>
    <row r="216">
      <c r="A216" s="4">
        <f>IF(204&lt;=$B$7*12,204,"")</f>
        <v/>
      </c>
      <c r="B216" s="10">
        <f>IF(204&lt;=$B$7*12,F215,"")</f>
        <v/>
      </c>
      <c r="C216" s="10">
        <f>IF(204&lt;=$B$7*12,$B$8,"")</f>
        <v/>
      </c>
      <c r="D216" s="10">
        <f>IF(204&lt;=$B$7*12,B216*$B$6/12,"")</f>
        <v/>
      </c>
      <c r="E216" s="10">
        <f>IF(204&lt;=$B$7*12,C216-D216,"")</f>
        <v/>
      </c>
      <c r="F216" s="10">
        <f>IF(204&lt;=$B$7*12,MAX(0,B216-E216),"")</f>
        <v/>
      </c>
    </row>
    <row r="217">
      <c r="A217" s="4">
        <f>IF(205&lt;=$B$7*12,205,"")</f>
        <v/>
      </c>
      <c r="B217" s="10">
        <f>IF(205&lt;=$B$7*12,F216,"")</f>
        <v/>
      </c>
      <c r="C217" s="10">
        <f>IF(205&lt;=$B$7*12,$B$8,"")</f>
        <v/>
      </c>
      <c r="D217" s="10">
        <f>IF(205&lt;=$B$7*12,B217*$B$6/12,"")</f>
        <v/>
      </c>
      <c r="E217" s="10">
        <f>IF(205&lt;=$B$7*12,C217-D217,"")</f>
        <v/>
      </c>
      <c r="F217" s="10">
        <f>IF(205&lt;=$B$7*12,MAX(0,B217-E217),"")</f>
        <v/>
      </c>
    </row>
    <row r="218">
      <c r="A218" s="4">
        <f>IF(206&lt;=$B$7*12,206,"")</f>
        <v/>
      </c>
      <c r="B218" s="10">
        <f>IF(206&lt;=$B$7*12,F217,"")</f>
        <v/>
      </c>
      <c r="C218" s="10">
        <f>IF(206&lt;=$B$7*12,$B$8,"")</f>
        <v/>
      </c>
      <c r="D218" s="10">
        <f>IF(206&lt;=$B$7*12,B218*$B$6/12,"")</f>
        <v/>
      </c>
      <c r="E218" s="10">
        <f>IF(206&lt;=$B$7*12,C218-D218,"")</f>
        <v/>
      </c>
      <c r="F218" s="10">
        <f>IF(206&lt;=$B$7*12,MAX(0,B218-E218),"")</f>
        <v/>
      </c>
    </row>
    <row r="219">
      <c r="A219" s="4">
        <f>IF(207&lt;=$B$7*12,207,"")</f>
        <v/>
      </c>
      <c r="B219" s="10">
        <f>IF(207&lt;=$B$7*12,F218,"")</f>
        <v/>
      </c>
      <c r="C219" s="10">
        <f>IF(207&lt;=$B$7*12,$B$8,"")</f>
        <v/>
      </c>
      <c r="D219" s="10">
        <f>IF(207&lt;=$B$7*12,B219*$B$6/12,"")</f>
        <v/>
      </c>
      <c r="E219" s="10">
        <f>IF(207&lt;=$B$7*12,C219-D219,"")</f>
        <v/>
      </c>
      <c r="F219" s="10">
        <f>IF(207&lt;=$B$7*12,MAX(0,B219-E219),"")</f>
        <v/>
      </c>
    </row>
    <row r="220">
      <c r="A220" s="4">
        <f>IF(208&lt;=$B$7*12,208,"")</f>
        <v/>
      </c>
      <c r="B220" s="10">
        <f>IF(208&lt;=$B$7*12,F219,"")</f>
        <v/>
      </c>
      <c r="C220" s="10">
        <f>IF(208&lt;=$B$7*12,$B$8,"")</f>
        <v/>
      </c>
      <c r="D220" s="10">
        <f>IF(208&lt;=$B$7*12,B220*$B$6/12,"")</f>
        <v/>
      </c>
      <c r="E220" s="10">
        <f>IF(208&lt;=$B$7*12,C220-D220,"")</f>
        <v/>
      </c>
      <c r="F220" s="10">
        <f>IF(208&lt;=$B$7*12,MAX(0,B220-E220),"")</f>
        <v/>
      </c>
    </row>
    <row r="221">
      <c r="A221" s="4">
        <f>IF(209&lt;=$B$7*12,209,"")</f>
        <v/>
      </c>
      <c r="B221" s="10">
        <f>IF(209&lt;=$B$7*12,F220,"")</f>
        <v/>
      </c>
      <c r="C221" s="10">
        <f>IF(209&lt;=$B$7*12,$B$8,"")</f>
        <v/>
      </c>
      <c r="D221" s="10">
        <f>IF(209&lt;=$B$7*12,B221*$B$6/12,"")</f>
        <v/>
      </c>
      <c r="E221" s="10">
        <f>IF(209&lt;=$B$7*12,C221-D221,"")</f>
        <v/>
      </c>
      <c r="F221" s="10">
        <f>IF(209&lt;=$B$7*12,MAX(0,B221-E221),"")</f>
        <v/>
      </c>
    </row>
    <row r="222">
      <c r="A222" s="4">
        <f>IF(210&lt;=$B$7*12,210,"")</f>
        <v/>
      </c>
      <c r="B222" s="10">
        <f>IF(210&lt;=$B$7*12,F221,"")</f>
        <v/>
      </c>
      <c r="C222" s="10">
        <f>IF(210&lt;=$B$7*12,$B$8,"")</f>
        <v/>
      </c>
      <c r="D222" s="10">
        <f>IF(210&lt;=$B$7*12,B222*$B$6/12,"")</f>
        <v/>
      </c>
      <c r="E222" s="10">
        <f>IF(210&lt;=$B$7*12,C222-D222,"")</f>
        <v/>
      </c>
      <c r="F222" s="10">
        <f>IF(210&lt;=$B$7*12,MAX(0,B222-E222),"")</f>
        <v/>
      </c>
    </row>
    <row r="223">
      <c r="A223" s="4">
        <f>IF(211&lt;=$B$7*12,211,"")</f>
        <v/>
      </c>
      <c r="B223" s="10">
        <f>IF(211&lt;=$B$7*12,F222,"")</f>
        <v/>
      </c>
      <c r="C223" s="10">
        <f>IF(211&lt;=$B$7*12,$B$8,"")</f>
        <v/>
      </c>
      <c r="D223" s="10">
        <f>IF(211&lt;=$B$7*12,B223*$B$6/12,"")</f>
        <v/>
      </c>
      <c r="E223" s="10">
        <f>IF(211&lt;=$B$7*12,C223-D223,"")</f>
        <v/>
      </c>
      <c r="F223" s="10">
        <f>IF(211&lt;=$B$7*12,MAX(0,B223-E223),"")</f>
        <v/>
      </c>
    </row>
    <row r="224">
      <c r="A224" s="4">
        <f>IF(212&lt;=$B$7*12,212,"")</f>
        <v/>
      </c>
      <c r="B224" s="10">
        <f>IF(212&lt;=$B$7*12,F223,"")</f>
        <v/>
      </c>
      <c r="C224" s="10">
        <f>IF(212&lt;=$B$7*12,$B$8,"")</f>
        <v/>
      </c>
      <c r="D224" s="10">
        <f>IF(212&lt;=$B$7*12,B224*$B$6/12,"")</f>
        <v/>
      </c>
      <c r="E224" s="10">
        <f>IF(212&lt;=$B$7*12,C224-D224,"")</f>
        <v/>
      </c>
      <c r="F224" s="10">
        <f>IF(212&lt;=$B$7*12,MAX(0,B224-E224),"")</f>
        <v/>
      </c>
    </row>
    <row r="225">
      <c r="A225" s="4">
        <f>IF(213&lt;=$B$7*12,213,"")</f>
        <v/>
      </c>
      <c r="B225" s="10">
        <f>IF(213&lt;=$B$7*12,F224,"")</f>
        <v/>
      </c>
      <c r="C225" s="10">
        <f>IF(213&lt;=$B$7*12,$B$8,"")</f>
        <v/>
      </c>
      <c r="D225" s="10">
        <f>IF(213&lt;=$B$7*12,B225*$B$6/12,"")</f>
        <v/>
      </c>
      <c r="E225" s="10">
        <f>IF(213&lt;=$B$7*12,C225-D225,"")</f>
        <v/>
      </c>
      <c r="F225" s="10">
        <f>IF(213&lt;=$B$7*12,MAX(0,B225-E225),"")</f>
        <v/>
      </c>
    </row>
    <row r="226">
      <c r="A226" s="4">
        <f>IF(214&lt;=$B$7*12,214,"")</f>
        <v/>
      </c>
      <c r="B226" s="10">
        <f>IF(214&lt;=$B$7*12,F225,"")</f>
        <v/>
      </c>
      <c r="C226" s="10">
        <f>IF(214&lt;=$B$7*12,$B$8,"")</f>
        <v/>
      </c>
      <c r="D226" s="10">
        <f>IF(214&lt;=$B$7*12,B226*$B$6/12,"")</f>
        <v/>
      </c>
      <c r="E226" s="10">
        <f>IF(214&lt;=$B$7*12,C226-D226,"")</f>
        <v/>
      </c>
      <c r="F226" s="10">
        <f>IF(214&lt;=$B$7*12,MAX(0,B226-E226),"")</f>
        <v/>
      </c>
    </row>
    <row r="227">
      <c r="A227" s="4">
        <f>IF(215&lt;=$B$7*12,215,"")</f>
        <v/>
      </c>
      <c r="B227" s="10">
        <f>IF(215&lt;=$B$7*12,F226,"")</f>
        <v/>
      </c>
      <c r="C227" s="10">
        <f>IF(215&lt;=$B$7*12,$B$8,"")</f>
        <v/>
      </c>
      <c r="D227" s="10">
        <f>IF(215&lt;=$B$7*12,B227*$B$6/12,"")</f>
        <v/>
      </c>
      <c r="E227" s="10">
        <f>IF(215&lt;=$B$7*12,C227-D227,"")</f>
        <v/>
      </c>
      <c r="F227" s="10">
        <f>IF(215&lt;=$B$7*12,MAX(0,B227-E227),"")</f>
        <v/>
      </c>
    </row>
    <row r="228">
      <c r="A228" s="4">
        <f>IF(216&lt;=$B$7*12,216,"")</f>
        <v/>
      </c>
      <c r="B228" s="10">
        <f>IF(216&lt;=$B$7*12,F227,"")</f>
        <v/>
      </c>
      <c r="C228" s="10">
        <f>IF(216&lt;=$B$7*12,$B$8,"")</f>
        <v/>
      </c>
      <c r="D228" s="10">
        <f>IF(216&lt;=$B$7*12,B228*$B$6/12,"")</f>
        <v/>
      </c>
      <c r="E228" s="10">
        <f>IF(216&lt;=$B$7*12,C228-D228,"")</f>
        <v/>
      </c>
      <c r="F228" s="10">
        <f>IF(216&lt;=$B$7*12,MAX(0,B228-E228),"")</f>
        <v/>
      </c>
    </row>
    <row r="229">
      <c r="A229" s="4">
        <f>IF(217&lt;=$B$7*12,217,"")</f>
        <v/>
      </c>
      <c r="B229" s="10">
        <f>IF(217&lt;=$B$7*12,F228,"")</f>
        <v/>
      </c>
      <c r="C229" s="10">
        <f>IF(217&lt;=$B$7*12,$B$8,"")</f>
        <v/>
      </c>
      <c r="D229" s="10">
        <f>IF(217&lt;=$B$7*12,B229*$B$6/12,"")</f>
        <v/>
      </c>
      <c r="E229" s="10">
        <f>IF(217&lt;=$B$7*12,C229-D229,"")</f>
        <v/>
      </c>
      <c r="F229" s="10">
        <f>IF(217&lt;=$B$7*12,MAX(0,B229-E229),"")</f>
        <v/>
      </c>
    </row>
    <row r="230">
      <c r="A230" s="4">
        <f>IF(218&lt;=$B$7*12,218,"")</f>
        <v/>
      </c>
      <c r="B230" s="10">
        <f>IF(218&lt;=$B$7*12,F229,"")</f>
        <v/>
      </c>
      <c r="C230" s="10">
        <f>IF(218&lt;=$B$7*12,$B$8,"")</f>
        <v/>
      </c>
      <c r="D230" s="10">
        <f>IF(218&lt;=$B$7*12,B230*$B$6/12,"")</f>
        <v/>
      </c>
      <c r="E230" s="10">
        <f>IF(218&lt;=$B$7*12,C230-D230,"")</f>
        <v/>
      </c>
      <c r="F230" s="10">
        <f>IF(218&lt;=$B$7*12,MAX(0,B230-E230),"")</f>
        <v/>
      </c>
    </row>
    <row r="231">
      <c r="A231" s="4">
        <f>IF(219&lt;=$B$7*12,219,"")</f>
        <v/>
      </c>
      <c r="B231" s="10">
        <f>IF(219&lt;=$B$7*12,F230,"")</f>
        <v/>
      </c>
      <c r="C231" s="10">
        <f>IF(219&lt;=$B$7*12,$B$8,"")</f>
        <v/>
      </c>
      <c r="D231" s="10">
        <f>IF(219&lt;=$B$7*12,B231*$B$6/12,"")</f>
        <v/>
      </c>
      <c r="E231" s="10">
        <f>IF(219&lt;=$B$7*12,C231-D231,"")</f>
        <v/>
      </c>
      <c r="F231" s="10">
        <f>IF(219&lt;=$B$7*12,MAX(0,B231-E231),"")</f>
        <v/>
      </c>
    </row>
    <row r="232">
      <c r="A232" s="4">
        <f>IF(220&lt;=$B$7*12,220,"")</f>
        <v/>
      </c>
      <c r="B232" s="10">
        <f>IF(220&lt;=$B$7*12,F231,"")</f>
        <v/>
      </c>
      <c r="C232" s="10">
        <f>IF(220&lt;=$B$7*12,$B$8,"")</f>
        <v/>
      </c>
      <c r="D232" s="10">
        <f>IF(220&lt;=$B$7*12,B232*$B$6/12,"")</f>
        <v/>
      </c>
      <c r="E232" s="10">
        <f>IF(220&lt;=$B$7*12,C232-D232,"")</f>
        <v/>
      </c>
      <c r="F232" s="10">
        <f>IF(220&lt;=$B$7*12,MAX(0,B232-E232),"")</f>
        <v/>
      </c>
    </row>
    <row r="233">
      <c r="A233" s="4">
        <f>IF(221&lt;=$B$7*12,221,"")</f>
        <v/>
      </c>
      <c r="B233" s="10">
        <f>IF(221&lt;=$B$7*12,F232,"")</f>
        <v/>
      </c>
      <c r="C233" s="10">
        <f>IF(221&lt;=$B$7*12,$B$8,"")</f>
        <v/>
      </c>
      <c r="D233" s="10">
        <f>IF(221&lt;=$B$7*12,B233*$B$6/12,"")</f>
        <v/>
      </c>
      <c r="E233" s="10">
        <f>IF(221&lt;=$B$7*12,C233-D233,"")</f>
        <v/>
      </c>
      <c r="F233" s="10">
        <f>IF(221&lt;=$B$7*12,MAX(0,B233-E233),"")</f>
        <v/>
      </c>
    </row>
    <row r="234">
      <c r="A234" s="4">
        <f>IF(222&lt;=$B$7*12,222,"")</f>
        <v/>
      </c>
      <c r="B234" s="10">
        <f>IF(222&lt;=$B$7*12,F233,"")</f>
        <v/>
      </c>
      <c r="C234" s="10">
        <f>IF(222&lt;=$B$7*12,$B$8,"")</f>
        <v/>
      </c>
      <c r="D234" s="10">
        <f>IF(222&lt;=$B$7*12,B234*$B$6/12,"")</f>
        <v/>
      </c>
      <c r="E234" s="10">
        <f>IF(222&lt;=$B$7*12,C234-D234,"")</f>
        <v/>
      </c>
      <c r="F234" s="10">
        <f>IF(222&lt;=$B$7*12,MAX(0,B234-E234),"")</f>
        <v/>
      </c>
    </row>
    <row r="235">
      <c r="A235" s="4">
        <f>IF(223&lt;=$B$7*12,223,"")</f>
        <v/>
      </c>
      <c r="B235" s="10">
        <f>IF(223&lt;=$B$7*12,F234,"")</f>
        <v/>
      </c>
      <c r="C235" s="10">
        <f>IF(223&lt;=$B$7*12,$B$8,"")</f>
        <v/>
      </c>
      <c r="D235" s="10">
        <f>IF(223&lt;=$B$7*12,B235*$B$6/12,"")</f>
        <v/>
      </c>
      <c r="E235" s="10">
        <f>IF(223&lt;=$B$7*12,C235-D235,"")</f>
        <v/>
      </c>
      <c r="F235" s="10">
        <f>IF(223&lt;=$B$7*12,MAX(0,B235-E235),"")</f>
        <v/>
      </c>
    </row>
    <row r="236">
      <c r="A236" s="4">
        <f>IF(224&lt;=$B$7*12,224,"")</f>
        <v/>
      </c>
      <c r="B236" s="10">
        <f>IF(224&lt;=$B$7*12,F235,"")</f>
        <v/>
      </c>
      <c r="C236" s="10">
        <f>IF(224&lt;=$B$7*12,$B$8,"")</f>
        <v/>
      </c>
      <c r="D236" s="10">
        <f>IF(224&lt;=$B$7*12,B236*$B$6/12,"")</f>
        <v/>
      </c>
      <c r="E236" s="10">
        <f>IF(224&lt;=$B$7*12,C236-D236,"")</f>
        <v/>
      </c>
      <c r="F236" s="10">
        <f>IF(224&lt;=$B$7*12,MAX(0,B236-E236),"")</f>
        <v/>
      </c>
    </row>
    <row r="237">
      <c r="A237" s="4">
        <f>IF(225&lt;=$B$7*12,225,"")</f>
        <v/>
      </c>
      <c r="B237" s="10">
        <f>IF(225&lt;=$B$7*12,F236,"")</f>
        <v/>
      </c>
      <c r="C237" s="10">
        <f>IF(225&lt;=$B$7*12,$B$8,"")</f>
        <v/>
      </c>
      <c r="D237" s="10">
        <f>IF(225&lt;=$B$7*12,B237*$B$6/12,"")</f>
        <v/>
      </c>
      <c r="E237" s="10">
        <f>IF(225&lt;=$B$7*12,C237-D237,"")</f>
        <v/>
      </c>
      <c r="F237" s="10">
        <f>IF(225&lt;=$B$7*12,MAX(0,B237-E237),"")</f>
        <v/>
      </c>
    </row>
    <row r="238">
      <c r="A238" s="4">
        <f>IF(226&lt;=$B$7*12,226,"")</f>
        <v/>
      </c>
      <c r="B238" s="10">
        <f>IF(226&lt;=$B$7*12,F237,"")</f>
        <v/>
      </c>
      <c r="C238" s="10">
        <f>IF(226&lt;=$B$7*12,$B$8,"")</f>
        <v/>
      </c>
      <c r="D238" s="10">
        <f>IF(226&lt;=$B$7*12,B238*$B$6/12,"")</f>
        <v/>
      </c>
      <c r="E238" s="10">
        <f>IF(226&lt;=$B$7*12,C238-D238,"")</f>
        <v/>
      </c>
      <c r="F238" s="10">
        <f>IF(226&lt;=$B$7*12,MAX(0,B238-E238),"")</f>
        <v/>
      </c>
    </row>
    <row r="239">
      <c r="A239" s="4">
        <f>IF(227&lt;=$B$7*12,227,"")</f>
        <v/>
      </c>
      <c r="B239" s="10">
        <f>IF(227&lt;=$B$7*12,F238,"")</f>
        <v/>
      </c>
      <c r="C239" s="10">
        <f>IF(227&lt;=$B$7*12,$B$8,"")</f>
        <v/>
      </c>
      <c r="D239" s="10">
        <f>IF(227&lt;=$B$7*12,B239*$B$6/12,"")</f>
        <v/>
      </c>
      <c r="E239" s="10">
        <f>IF(227&lt;=$B$7*12,C239-D239,"")</f>
        <v/>
      </c>
      <c r="F239" s="10">
        <f>IF(227&lt;=$B$7*12,MAX(0,B239-E239),"")</f>
        <v/>
      </c>
    </row>
    <row r="240">
      <c r="A240" s="4">
        <f>IF(228&lt;=$B$7*12,228,"")</f>
        <v/>
      </c>
      <c r="B240" s="10">
        <f>IF(228&lt;=$B$7*12,F239,"")</f>
        <v/>
      </c>
      <c r="C240" s="10">
        <f>IF(228&lt;=$B$7*12,$B$8,"")</f>
        <v/>
      </c>
      <c r="D240" s="10">
        <f>IF(228&lt;=$B$7*12,B240*$B$6/12,"")</f>
        <v/>
      </c>
      <c r="E240" s="10">
        <f>IF(228&lt;=$B$7*12,C240-D240,"")</f>
        <v/>
      </c>
      <c r="F240" s="10">
        <f>IF(228&lt;=$B$7*12,MAX(0,B240-E240),"")</f>
        <v/>
      </c>
    </row>
    <row r="241">
      <c r="A241" s="4">
        <f>IF(229&lt;=$B$7*12,229,"")</f>
        <v/>
      </c>
      <c r="B241" s="10">
        <f>IF(229&lt;=$B$7*12,F240,"")</f>
        <v/>
      </c>
      <c r="C241" s="10">
        <f>IF(229&lt;=$B$7*12,$B$8,"")</f>
        <v/>
      </c>
      <c r="D241" s="10">
        <f>IF(229&lt;=$B$7*12,B241*$B$6/12,"")</f>
        <v/>
      </c>
      <c r="E241" s="10">
        <f>IF(229&lt;=$B$7*12,C241-D241,"")</f>
        <v/>
      </c>
      <c r="F241" s="10">
        <f>IF(229&lt;=$B$7*12,MAX(0,B241-E241),"")</f>
        <v/>
      </c>
    </row>
    <row r="242">
      <c r="A242" s="4">
        <f>IF(230&lt;=$B$7*12,230,"")</f>
        <v/>
      </c>
      <c r="B242" s="10">
        <f>IF(230&lt;=$B$7*12,F241,"")</f>
        <v/>
      </c>
      <c r="C242" s="10">
        <f>IF(230&lt;=$B$7*12,$B$8,"")</f>
        <v/>
      </c>
      <c r="D242" s="10">
        <f>IF(230&lt;=$B$7*12,B242*$B$6/12,"")</f>
        <v/>
      </c>
      <c r="E242" s="10">
        <f>IF(230&lt;=$B$7*12,C242-D242,"")</f>
        <v/>
      </c>
      <c r="F242" s="10">
        <f>IF(230&lt;=$B$7*12,MAX(0,B242-E242),"")</f>
        <v/>
      </c>
    </row>
    <row r="243">
      <c r="A243" s="4">
        <f>IF(231&lt;=$B$7*12,231,"")</f>
        <v/>
      </c>
      <c r="B243" s="10">
        <f>IF(231&lt;=$B$7*12,F242,"")</f>
        <v/>
      </c>
      <c r="C243" s="10">
        <f>IF(231&lt;=$B$7*12,$B$8,"")</f>
        <v/>
      </c>
      <c r="D243" s="10">
        <f>IF(231&lt;=$B$7*12,B243*$B$6/12,"")</f>
        <v/>
      </c>
      <c r="E243" s="10">
        <f>IF(231&lt;=$B$7*12,C243-D243,"")</f>
        <v/>
      </c>
      <c r="F243" s="10">
        <f>IF(231&lt;=$B$7*12,MAX(0,B243-E243),"")</f>
        <v/>
      </c>
    </row>
    <row r="244">
      <c r="A244" s="4">
        <f>IF(232&lt;=$B$7*12,232,"")</f>
        <v/>
      </c>
      <c r="B244" s="10">
        <f>IF(232&lt;=$B$7*12,F243,"")</f>
        <v/>
      </c>
      <c r="C244" s="10">
        <f>IF(232&lt;=$B$7*12,$B$8,"")</f>
        <v/>
      </c>
      <c r="D244" s="10">
        <f>IF(232&lt;=$B$7*12,B244*$B$6/12,"")</f>
        <v/>
      </c>
      <c r="E244" s="10">
        <f>IF(232&lt;=$B$7*12,C244-D244,"")</f>
        <v/>
      </c>
      <c r="F244" s="10">
        <f>IF(232&lt;=$B$7*12,MAX(0,B244-E244),"")</f>
        <v/>
      </c>
    </row>
    <row r="245">
      <c r="A245" s="4">
        <f>IF(233&lt;=$B$7*12,233,"")</f>
        <v/>
      </c>
      <c r="B245" s="10">
        <f>IF(233&lt;=$B$7*12,F244,"")</f>
        <v/>
      </c>
      <c r="C245" s="10">
        <f>IF(233&lt;=$B$7*12,$B$8,"")</f>
        <v/>
      </c>
      <c r="D245" s="10">
        <f>IF(233&lt;=$B$7*12,B245*$B$6/12,"")</f>
        <v/>
      </c>
      <c r="E245" s="10">
        <f>IF(233&lt;=$B$7*12,C245-D245,"")</f>
        <v/>
      </c>
      <c r="F245" s="10">
        <f>IF(233&lt;=$B$7*12,MAX(0,B245-E245),"")</f>
        <v/>
      </c>
    </row>
    <row r="246">
      <c r="A246" s="4">
        <f>IF(234&lt;=$B$7*12,234,"")</f>
        <v/>
      </c>
      <c r="B246" s="10">
        <f>IF(234&lt;=$B$7*12,F245,"")</f>
        <v/>
      </c>
      <c r="C246" s="10">
        <f>IF(234&lt;=$B$7*12,$B$8,"")</f>
        <v/>
      </c>
      <c r="D246" s="10">
        <f>IF(234&lt;=$B$7*12,B246*$B$6/12,"")</f>
        <v/>
      </c>
      <c r="E246" s="10">
        <f>IF(234&lt;=$B$7*12,C246-D246,"")</f>
        <v/>
      </c>
      <c r="F246" s="10">
        <f>IF(234&lt;=$B$7*12,MAX(0,B246-E246),"")</f>
        <v/>
      </c>
    </row>
    <row r="247">
      <c r="A247" s="4">
        <f>IF(235&lt;=$B$7*12,235,"")</f>
        <v/>
      </c>
      <c r="B247" s="10">
        <f>IF(235&lt;=$B$7*12,F246,"")</f>
        <v/>
      </c>
      <c r="C247" s="10">
        <f>IF(235&lt;=$B$7*12,$B$8,"")</f>
        <v/>
      </c>
      <c r="D247" s="10">
        <f>IF(235&lt;=$B$7*12,B247*$B$6/12,"")</f>
        <v/>
      </c>
      <c r="E247" s="10">
        <f>IF(235&lt;=$B$7*12,C247-D247,"")</f>
        <v/>
      </c>
      <c r="F247" s="10">
        <f>IF(235&lt;=$B$7*12,MAX(0,B247-E247),"")</f>
        <v/>
      </c>
    </row>
    <row r="248">
      <c r="A248" s="4">
        <f>IF(236&lt;=$B$7*12,236,"")</f>
        <v/>
      </c>
      <c r="B248" s="10">
        <f>IF(236&lt;=$B$7*12,F247,"")</f>
        <v/>
      </c>
      <c r="C248" s="10">
        <f>IF(236&lt;=$B$7*12,$B$8,"")</f>
        <v/>
      </c>
      <c r="D248" s="10">
        <f>IF(236&lt;=$B$7*12,B248*$B$6/12,"")</f>
        <v/>
      </c>
      <c r="E248" s="10">
        <f>IF(236&lt;=$B$7*12,C248-D248,"")</f>
        <v/>
      </c>
      <c r="F248" s="10">
        <f>IF(236&lt;=$B$7*12,MAX(0,B248-E248),"")</f>
        <v/>
      </c>
    </row>
    <row r="249">
      <c r="A249" s="4">
        <f>IF(237&lt;=$B$7*12,237,"")</f>
        <v/>
      </c>
      <c r="B249" s="10">
        <f>IF(237&lt;=$B$7*12,F248,"")</f>
        <v/>
      </c>
      <c r="C249" s="10">
        <f>IF(237&lt;=$B$7*12,$B$8,"")</f>
        <v/>
      </c>
      <c r="D249" s="10">
        <f>IF(237&lt;=$B$7*12,B249*$B$6/12,"")</f>
        <v/>
      </c>
      <c r="E249" s="10">
        <f>IF(237&lt;=$B$7*12,C249-D249,"")</f>
        <v/>
      </c>
      <c r="F249" s="10">
        <f>IF(237&lt;=$B$7*12,MAX(0,B249-E249),"")</f>
        <v/>
      </c>
    </row>
    <row r="250">
      <c r="A250" s="4">
        <f>IF(238&lt;=$B$7*12,238,"")</f>
        <v/>
      </c>
      <c r="B250" s="10">
        <f>IF(238&lt;=$B$7*12,F249,"")</f>
        <v/>
      </c>
      <c r="C250" s="10">
        <f>IF(238&lt;=$B$7*12,$B$8,"")</f>
        <v/>
      </c>
      <c r="D250" s="10">
        <f>IF(238&lt;=$B$7*12,B250*$B$6/12,"")</f>
        <v/>
      </c>
      <c r="E250" s="10">
        <f>IF(238&lt;=$B$7*12,C250-D250,"")</f>
        <v/>
      </c>
      <c r="F250" s="10">
        <f>IF(238&lt;=$B$7*12,MAX(0,B250-E250),"")</f>
        <v/>
      </c>
    </row>
    <row r="251">
      <c r="A251" s="4">
        <f>IF(239&lt;=$B$7*12,239,"")</f>
        <v/>
      </c>
      <c r="B251" s="10">
        <f>IF(239&lt;=$B$7*12,F250,"")</f>
        <v/>
      </c>
      <c r="C251" s="10">
        <f>IF(239&lt;=$B$7*12,$B$8,"")</f>
        <v/>
      </c>
      <c r="D251" s="10">
        <f>IF(239&lt;=$B$7*12,B251*$B$6/12,"")</f>
        <v/>
      </c>
      <c r="E251" s="10">
        <f>IF(239&lt;=$B$7*12,C251-D251,"")</f>
        <v/>
      </c>
      <c r="F251" s="10">
        <f>IF(239&lt;=$B$7*12,MAX(0,B251-E251),"")</f>
        <v/>
      </c>
    </row>
    <row r="252">
      <c r="A252" s="4">
        <f>IF(240&lt;=$B$7*12,240,"")</f>
        <v/>
      </c>
      <c r="B252" s="10">
        <f>IF(240&lt;=$B$7*12,F251,"")</f>
        <v/>
      </c>
      <c r="C252" s="10">
        <f>IF(240&lt;=$B$7*12,$B$8,"")</f>
        <v/>
      </c>
      <c r="D252" s="10">
        <f>IF(240&lt;=$B$7*12,B252*$B$6/12,"")</f>
        <v/>
      </c>
      <c r="E252" s="10">
        <f>IF(240&lt;=$B$7*12,C252-D252,"")</f>
        <v/>
      </c>
      <c r="F252" s="10">
        <f>IF(240&lt;=$B$7*12,MAX(0,B252-E252),"")</f>
        <v/>
      </c>
    </row>
    <row r="253">
      <c r="A253" s="4">
        <f>IF(241&lt;=$B$7*12,241,"")</f>
        <v/>
      </c>
      <c r="B253" s="10">
        <f>IF(241&lt;=$B$7*12,F252,"")</f>
        <v/>
      </c>
      <c r="C253" s="10">
        <f>IF(241&lt;=$B$7*12,$B$8,"")</f>
        <v/>
      </c>
      <c r="D253" s="10">
        <f>IF(241&lt;=$B$7*12,B253*$B$6/12,"")</f>
        <v/>
      </c>
      <c r="E253" s="10">
        <f>IF(241&lt;=$B$7*12,C253-D253,"")</f>
        <v/>
      </c>
      <c r="F253" s="10">
        <f>IF(241&lt;=$B$7*12,MAX(0,B253-E253),"")</f>
        <v/>
      </c>
    </row>
    <row r="254">
      <c r="A254" s="4">
        <f>IF(242&lt;=$B$7*12,242,"")</f>
        <v/>
      </c>
      <c r="B254" s="10">
        <f>IF(242&lt;=$B$7*12,F253,"")</f>
        <v/>
      </c>
      <c r="C254" s="10">
        <f>IF(242&lt;=$B$7*12,$B$8,"")</f>
        <v/>
      </c>
      <c r="D254" s="10">
        <f>IF(242&lt;=$B$7*12,B254*$B$6/12,"")</f>
        <v/>
      </c>
      <c r="E254" s="10">
        <f>IF(242&lt;=$B$7*12,C254-D254,"")</f>
        <v/>
      </c>
      <c r="F254" s="10">
        <f>IF(242&lt;=$B$7*12,MAX(0,B254-E254),"")</f>
        <v/>
      </c>
    </row>
    <row r="255">
      <c r="A255" s="4">
        <f>IF(243&lt;=$B$7*12,243,"")</f>
        <v/>
      </c>
      <c r="B255" s="10">
        <f>IF(243&lt;=$B$7*12,F254,"")</f>
        <v/>
      </c>
      <c r="C255" s="10">
        <f>IF(243&lt;=$B$7*12,$B$8,"")</f>
        <v/>
      </c>
      <c r="D255" s="10">
        <f>IF(243&lt;=$B$7*12,B255*$B$6/12,"")</f>
        <v/>
      </c>
      <c r="E255" s="10">
        <f>IF(243&lt;=$B$7*12,C255-D255,"")</f>
        <v/>
      </c>
      <c r="F255" s="10">
        <f>IF(243&lt;=$B$7*12,MAX(0,B255-E255),"")</f>
        <v/>
      </c>
    </row>
    <row r="256">
      <c r="A256" s="4">
        <f>IF(244&lt;=$B$7*12,244,"")</f>
        <v/>
      </c>
      <c r="B256" s="10">
        <f>IF(244&lt;=$B$7*12,F255,"")</f>
        <v/>
      </c>
      <c r="C256" s="10">
        <f>IF(244&lt;=$B$7*12,$B$8,"")</f>
        <v/>
      </c>
      <c r="D256" s="10">
        <f>IF(244&lt;=$B$7*12,B256*$B$6/12,"")</f>
        <v/>
      </c>
      <c r="E256" s="10">
        <f>IF(244&lt;=$B$7*12,C256-D256,"")</f>
        <v/>
      </c>
      <c r="F256" s="10">
        <f>IF(244&lt;=$B$7*12,MAX(0,B256-E256),"")</f>
        <v/>
      </c>
    </row>
    <row r="257">
      <c r="A257" s="4">
        <f>IF(245&lt;=$B$7*12,245,"")</f>
        <v/>
      </c>
      <c r="B257" s="10">
        <f>IF(245&lt;=$B$7*12,F256,"")</f>
        <v/>
      </c>
      <c r="C257" s="10">
        <f>IF(245&lt;=$B$7*12,$B$8,"")</f>
        <v/>
      </c>
      <c r="D257" s="10">
        <f>IF(245&lt;=$B$7*12,B257*$B$6/12,"")</f>
        <v/>
      </c>
      <c r="E257" s="10">
        <f>IF(245&lt;=$B$7*12,C257-D257,"")</f>
        <v/>
      </c>
      <c r="F257" s="10">
        <f>IF(245&lt;=$B$7*12,MAX(0,B257-E257),"")</f>
        <v/>
      </c>
    </row>
    <row r="258">
      <c r="A258" s="4">
        <f>IF(246&lt;=$B$7*12,246,"")</f>
        <v/>
      </c>
      <c r="B258" s="10">
        <f>IF(246&lt;=$B$7*12,F257,"")</f>
        <v/>
      </c>
      <c r="C258" s="10">
        <f>IF(246&lt;=$B$7*12,$B$8,"")</f>
        <v/>
      </c>
      <c r="D258" s="10">
        <f>IF(246&lt;=$B$7*12,B258*$B$6/12,"")</f>
        <v/>
      </c>
      <c r="E258" s="10">
        <f>IF(246&lt;=$B$7*12,C258-D258,"")</f>
        <v/>
      </c>
      <c r="F258" s="10">
        <f>IF(246&lt;=$B$7*12,MAX(0,B258-E258),"")</f>
        <v/>
      </c>
    </row>
    <row r="259">
      <c r="A259" s="4">
        <f>IF(247&lt;=$B$7*12,247,"")</f>
        <v/>
      </c>
      <c r="B259" s="10">
        <f>IF(247&lt;=$B$7*12,F258,"")</f>
        <v/>
      </c>
      <c r="C259" s="10">
        <f>IF(247&lt;=$B$7*12,$B$8,"")</f>
        <v/>
      </c>
      <c r="D259" s="10">
        <f>IF(247&lt;=$B$7*12,B259*$B$6/12,"")</f>
        <v/>
      </c>
      <c r="E259" s="10">
        <f>IF(247&lt;=$B$7*12,C259-D259,"")</f>
        <v/>
      </c>
      <c r="F259" s="10">
        <f>IF(247&lt;=$B$7*12,MAX(0,B259-E259),"")</f>
        <v/>
      </c>
    </row>
    <row r="260">
      <c r="A260" s="4">
        <f>IF(248&lt;=$B$7*12,248,"")</f>
        <v/>
      </c>
      <c r="B260" s="10">
        <f>IF(248&lt;=$B$7*12,F259,"")</f>
        <v/>
      </c>
      <c r="C260" s="10">
        <f>IF(248&lt;=$B$7*12,$B$8,"")</f>
        <v/>
      </c>
      <c r="D260" s="10">
        <f>IF(248&lt;=$B$7*12,B260*$B$6/12,"")</f>
        <v/>
      </c>
      <c r="E260" s="10">
        <f>IF(248&lt;=$B$7*12,C260-D260,"")</f>
        <v/>
      </c>
      <c r="F260" s="10">
        <f>IF(248&lt;=$B$7*12,MAX(0,B260-E260),"")</f>
        <v/>
      </c>
    </row>
    <row r="261">
      <c r="A261" s="4">
        <f>IF(249&lt;=$B$7*12,249,"")</f>
        <v/>
      </c>
      <c r="B261" s="10">
        <f>IF(249&lt;=$B$7*12,F260,"")</f>
        <v/>
      </c>
      <c r="C261" s="10">
        <f>IF(249&lt;=$B$7*12,$B$8,"")</f>
        <v/>
      </c>
      <c r="D261" s="10">
        <f>IF(249&lt;=$B$7*12,B261*$B$6/12,"")</f>
        <v/>
      </c>
      <c r="E261" s="10">
        <f>IF(249&lt;=$B$7*12,C261-D261,"")</f>
        <v/>
      </c>
      <c r="F261" s="10">
        <f>IF(249&lt;=$B$7*12,MAX(0,B261-E261),"")</f>
        <v/>
      </c>
    </row>
    <row r="262">
      <c r="A262" s="4">
        <f>IF(250&lt;=$B$7*12,250,"")</f>
        <v/>
      </c>
      <c r="B262" s="10">
        <f>IF(250&lt;=$B$7*12,F261,"")</f>
        <v/>
      </c>
      <c r="C262" s="10">
        <f>IF(250&lt;=$B$7*12,$B$8,"")</f>
        <v/>
      </c>
      <c r="D262" s="10">
        <f>IF(250&lt;=$B$7*12,B262*$B$6/12,"")</f>
        <v/>
      </c>
      <c r="E262" s="10">
        <f>IF(250&lt;=$B$7*12,C262-D262,"")</f>
        <v/>
      </c>
      <c r="F262" s="10">
        <f>IF(250&lt;=$B$7*12,MAX(0,B262-E262),"")</f>
        <v/>
      </c>
    </row>
    <row r="263">
      <c r="A263" s="4">
        <f>IF(251&lt;=$B$7*12,251,"")</f>
        <v/>
      </c>
      <c r="B263" s="10">
        <f>IF(251&lt;=$B$7*12,F262,"")</f>
        <v/>
      </c>
      <c r="C263" s="10">
        <f>IF(251&lt;=$B$7*12,$B$8,"")</f>
        <v/>
      </c>
      <c r="D263" s="10">
        <f>IF(251&lt;=$B$7*12,B263*$B$6/12,"")</f>
        <v/>
      </c>
      <c r="E263" s="10">
        <f>IF(251&lt;=$B$7*12,C263-D263,"")</f>
        <v/>
      </c>
      <c r="F263" s="10">
        <f>IF(251&lt;=$B$7*12,MAX(0,B263-E263),"")</f>
        <v/>
      </c>
    </row>
    <row r="264">
      <c r="A264" s="4">
        <f>IF(252&lt;=$B$7*12,252,"")</f>
        <v/>
      </c>
      <c r="B264" s="10">
        <f>IF(252&lt;=$B$7*12,F263,"")</f>
        <v/>
      </c>
      <c r="C264" s="10">
        <f>IF(252&lt;=$B$7*12,$B$8,"")</f>
        <v/>
      </c>
      <c r="D264" s="10">
        <f>IF(252&lt;=$B$7*12,B264*$B$6/12,"")</f>
        <v/>
      </c>
      <c r="E264" s="10">
        <f>IF(252&lt;=$B$7*12,C264-D264,"")</f>
        <v/>
      </c>
      <c r="F264" s="10">
        <f>IF(252&lt;=$B$7*12,MAX(0,B264-E264),"")</f>
        <v/>
      </c>
    </row>
    <row r="265">
      <c r="A265" s="4">
        <f>IF(253&lt;=$B$7*12,253,"")</f>
        <v/>
      </c>
      <c r="B265" s="10">
        <f>IF(253&lt;=$B$7*12,F264,"")</f>
        <v/>
      </c>
      <c r="C265" s="10">
        <f>IF(253&lt;=$B$7*12,$B$8,"")</f>
        <v/>
      </c>
      <c r="D265" s="10">
        <f>IF(253&lt;=$B$7*12,B265*$B$6/12,"")</f>
        <v/>
      </c>
      <c r="E265" s="10">
        <f>IF(253&lt;=$B$7*12,C265-D265,"")</f>
        <v/>
      </c>
      <c r="F265" s="10">
        <f>IF(253&lt;=$B$7*12,MAX(0,B265-E265),"")</f>
        <v/>
      </c>
    </row>
    <row r="266">
      <c r="A266" s="4">
        <f>IF(254&lt;=$B$7*12,254,"")</f>
        <v/>
      </c>
      <c r="B266" s="10">
        <f>IF(254&lt;=$B$7*12,F265,"")</f>
        <v/>
      </c>
      <c r="C266" s="10">
        <f>IF(254&lt;=$B$7*12,$B$8,"")</f>
        <v/>
      </c>
      <c r="D266" s="10">
        <f>IF(254&lt;=$B$7*12,B266*$B$6/12,"")</f>
        <v/>
      </c>
      <c r="E266" s="10">
        <f>IF(254&lt;=$B$7*12,C266-D266,"")</f>
        <v/>
      </c>
      <c r="F266" s="10">
        <f>IF(254&lt;=$B$7*12,MAX(0,B266-E266),"")</f>
        <v/>
      </c>
    </row>
    <row r="267">
      <c r="A267" s="4">
        <f>IF(255&lt;=$B$7*12,255,"")</f>
        <v/>
      </c>
      <c r="B267" s="10">
        <f>IF(255&lt;=$B$7*12,F266,"")</f>
        <v/>
      </c>
      <c r="C267" s="10">
        <f>IF(255&lt;=$B$7*12,$B$8,"")</f>
        <v/>
      </c>
      <c r="D267" s="10">
        <f>IF(255&lt;=$B$7*12,B267*$B$6/12,"")</f>
        <v/>
      </c>
      <c r="E267" s="10">
        <f>IF(255&lt;=$B$7*12,C267-D267,"")</f>
        <v/>
      </c>
      <c r="F267" s="10">
        <f>IF(255&lt;=$B$7*12,MAX(0,B267-E267),"")</f>
        <v/>
      </c>
    </row>
    <row r="268">
      <c r="A268" s="4">
        <f>IF(256&lt;=$B$7*12,256,"")</f>
        <v/>
      </c>
      <c r="B268" s="10">
        <f>IF(256&lt;=$B$7*12,F267,"")</f>
        <v/>
      </c>
      <c r="C268" s="10">
        <f>IF(256&lt;=$B$7*12,$B$8,"")</f>
        <v/>
      </c>
      <c r="D268" s="10">
        <f>IF(256&lt;=$B$7*12,B268*$B$6/12,"")</f>
        <v/>
      </c>
      <c r="E268" s="10">
        <f>IF(256&lt;=$B$7*12,C268-D268,"")</f>
        <v/>
      </c>
      <c r="F268" s="10">
        <f>IF(256&lt;=$B$7*12,MAX(0,B268-E268),"")</f>
        <v/>
      </c>
    </row>
    <row r="269">
      <c r="A269" s="4">
        <f>IF(257&lt;=$B$7*12,257,"")</f>
        <v/>
      </c>
      <c r="B269" s="10">
        <f>IF(257&lt;=$B$7*12,F268,"")</f>
        <v/>
      </c>
      <c r="C269" s="10">
        <f>IF(257&lt;=$B$7*12,$B$8,"")</f>
        <v/>
      </c>
      <c r="D269" s="10">
        <f>IF(257&lt;=$B$7*12,B269*$B$6/12,"")</f>
        <v/>
      </c>
      <c r="E269" s="10">
        <f>IF(257&lt;=$B$7*12,C269-D269,"")</f>
        <v/>
      </c>
      <c r="F269" s="10">
        <f>IF(257&lt;=$B$7*12,MAX(0,B269-E269),"")</f>
        <v/>
      </c>
    </row>
    <row r="270">
      <c r="A270" s="4">
        <f>IF(258&lt;=$B$7*12,258,"")</f>
        <v/>
      </c>
      <c r="B270" s="10">
        <f>IF(258&lt;=$B$7*12,F269,"")</f>
        <v/>
      </c>
      <c r="C270" s="10">
        <f>IF(258&lt;=$B$7*12,$B$8,"")</f>
        <v/>
      </c>
      <c r="D270" s="10">
        <f>IF(258&lt;=$B$7*12,B270*$B$6/12,"")</f>
        <v/>
      </c>
      <c r="E270" s="10">
        <f>IF(258&lt;=$B$7*12,C270-D270,"")</f>
        <v/>
      </c>
      <c r="F270" s="10">
        <f>IF(258&lt;=$B$7*12,MAX(0,B270-E270),"")</f>
        <v/>
      </c>
    </row>
    <row r="271">
      <c r="A271" s="4">
        <f>IF(259&lt;=$B$7*12,259,"")</f>
        <v/>
      </c>
      <c r="B271" s="10">
        <f>IF(259&lt;=$B$7*12,F270,"")</f>
        <v/>
      </c>
      <c r="C271" s="10">
        <f>IF(259&lt;=$B$7*12,$B$8,"")</f>
        <v/>
      </c>
      <c r="D271" s="10">
        <f>IF(259&lt;=$B$7*12,B271*$B$6/12,"")</f>
        <v/>
      </c>
      <c r="E271" s="10">
        <f>IF(259&lt;=$B$7*12,C271-D271,"")</f>
        <v/>
      </c>
      <c r="F271" s="10">
        <f>IF(259&lt;=$B$7*12,MAX(0,B271-E271),"")</f>
        <v/>
      </c>
    </row>
    <row r="272">
      <c r="A272" s="4">
        <f>IF(260&lt;=$B$7*12,260,"")</f>
        <v/>
      </c>
      <c r="B272" s="10">
        <f>IF(260&lt;=$B$7*12,F271,"")</f>
        <v/>
      </c>
      <c r="C272" s="10">
        <f>IF(260&lt;=$B$7*12,$B$8,"")</f>
        <v/>
      </c>
      <c r="D272" s="10">
        <f>IF(260&lt;=$B$7*12,B272*$B$6/12,"")</f>
        <v/>
      </c>
      <c r="E272" s="10">
        <f>IF(260&lt;=$B$7*12,C272-D272,"")</f>
        <v/>
      </c>
      <c r="F272" s="10">
        <f>IF(260&lt;=$B$7*12,MAX(0,B272-E272),"")</f>
        <v/>
      </c>
    </row>
    <row r="273">
      <c r="A273" s="4">
        <f>IF(261&lt;=$B$7*12,261,"")</f>
        <v/>
      </c>
      <c r="B273" s="10">
        <f>IF(261&lt;=$B$7*12,F272,"")</f>
        <v/>
      </c>
      <c r="C273" s="10">
        <f>IF(261&lt;=$B$7*12,$B$8,"")</f>
        <v/>
      </c>
      <c r="D273" s="10">
        <f>IF(261&lt;=$B$7*12,B273*$B$6/12,"")</f>
        <v/>
      </c>
      <c r="E273" s="10">
        <f>IF(261&lt;=$B$7*12,C273-D273,"")</f>
        <v/>
      </c>
      <c r="F273" s="10">
        <f>IF(261&lt;=$B$7*12,MAX(0,B273-E273),"")</f>
        <v/>
      </c>
    </row>
    <row r="274">
      <c r="A274" s="4">
        <f>IF(262&lt;=$B$7*12,262,"")</f>
        <v/>
      </c>
      <c r="B274" s="10">
        <f>IF(262&lt;=$B$7*12,F273,"")</f>
        <v/>
      </c>
      <c r="C274" s="10">
        <f>IF(262&lt;=$B$7*12,$B$8,"")</f>
        <v/>
      </c>
      <c r="D274" s="10">
        <f>IF(262&lt;=$B$7*12,B274*$B$6/12,"")</f>
        <v/>
      </c>
      <c r="E274" s="10">
        <f>IF(262&lt;=$B$7*12,C274-D274,"")</f>
        <v/>
      </c>
      <c r="F274" s="10">
        <f>IF(262&lt;=$B$7*12,MAX(0,B274-E274),"")</f>
        <v/>
      </c>
    </row>
    <row r="275">
      <c r="A275" s="4">
        <f>IF(263&lt;=$B$7*12,263,"")</f>
        <v/>
      </c>
      <c r="B275" s="10">
        <f>IF(263&lt;=$B$7*12,F274,"")</f>
        <v/>
      </c>
      <c r="C275" s="10">
        <f>IF(263&lt;=$B$7*12,$B$8,"")</f>
        <v/>
      </c>
      <c r="D275" s="10">
        <f>IF(263&lt;=$B$7*12,B275*$B$6/12,"")</f>
        <v/>
      </c>
      <c r="E275" s="10">
        <f>IF(263&lt;=$B$7*12,C275-D275,"")</f>
        <v/>
      </c>
      <c r="F275" s="10">
        <f>IF(263&lt;=$B$7*12,MAX(0,B275-E275),"")</f>
        <v/>
      </c>
    </row>
    <row r="276">
      <c r="A276" s="4">
        <f>IF(264&lt;=$B$7*12,264,"")</f>
        <v/>
      </c>
      <c r="B276" s="10">
        <f>IF(264&lt;=$B$7*12,F275,"")</f>
        <v/>
      </c>
      <c r="C276" s="10">
        <f>IF(264&lt;=$B$7*12,$B$8,"")</f>
        <v/>
      </c>
      <c r="D276" s="10">
        <f>IF(264&lt;=$B$7*12,B276*$B$6/12,"")</f>
        <v/>
      </c>
      <c r="E276" s="10">
        <f>IF(264&lt;=$B$7*12,C276-D276,"")</f>
        <v/>
      </c>
      <c r="F276" s="10">
        <f>IF(264&lt;=$B$7*12,MAX(0,B276-E276),"")</f>
        <v/>
      </c>
    </row>
    <row r="277">
      <c r="A277" s="4">
        <f>IF(265&lt;=$B$7*12,265,"")</f>
        <v/>
      </c>
      <c r="B277" s="10">
        <f>IF(265&lt;=$B$7*12,F276,"")</f>
        <v/>
      </c>
      <c r="C277" s="10">
        <f>IF(265&lt;=$B$7*12,$B$8,"")</f>
        <v/>
      </c>
      <c r="D277" s="10">
        <f>IF(265&lt;=$B$7*12,B277*$B$6/12,"")</f>
        <v/>
      </c>
      <c r="E277" s="10">
        <f>IF(265&lt;=$B$7*12,C277-D277,"")</f>
        <v/>
      </c>
      <c r="F277" s="10">
        <f>IF(265&lt;=$B$7*12,MAX(0,B277-E277),"")</f>
        <v/>
      </c>
    </row>
    <row r="278">
      <c r="A278" s="4">
        <f>IF(266&lt;=$B$7*12,266,"")</f>
        <v/>
      </c>
      <c r="B278" s="10">
        <f>IF(266&lt;=$B$7*12,F277,"")</f>
        <v/>
      </c>
      <c r="C278" s="10">
        <f>IF(266&lt;=$B$7*12,$B$8,"")</f>
        <v/>
      </c>
      <c r="D278" s="10">
        <f>IF(266&lt;=$B$7*12,B278*$B$6/12,"")</f>
        <v/>
      </c>
      <c r="E278" s="10">
        <f>IF(266&lt;=$B$7*12,C278-D278,"")</f>
        <v/>
      </c>
      <c r="F278" s="10">
        <f>IF(266&lt;=$B$7*12,MAX(0,B278-E278),"")</f>
        <v/>
      </c>
    </row>
    <row r="279">
      <c r="A279" s="4">
        <f>IF(267&lt;=$B$7*12,267,"")</f>
        <v/>
      </c>
      <c r="B279" s="10">
        <f>IF(267&lt;=$B$7*12,F278,"")</f>
        <v/>
      </c>
      <c r="C279" s="10">
        <f>IF(267&lt;=$B$7*12,$B$8,"")</f>
        <v/>
      </c>
      <c r="D279" s="10">
        <f>IF(267&lt;=$B$7*12,B279*$B$6/12,"")</f>
        <v/>
      </c>
      <c r="E279" s="10">
        <f>IF(267&lt;=$B$7*12,C279-D279,"")</f>
        <v/>
      </c>
      <c r="F279" s="10">
        <f>IF(267&lt;=$B$7*12,MAX(0,B279-E279),"")</f>
        <v/>
      </c>
    </row>
    <row r="280">
      <c r="A280" s="4">
        <f>IF(268&lt;=$B$7*12,268,"")</f>
        <v/>
      </c>
      <c r="B280" s="10">
        <f>IF(268&lt;=$B$7*12,F279,"")</f>
        <v/>
      </c>
      <c r="C280" s="10">
        <f>IF(268&lt;=$B$7*12,$B$8,"")</f>
        <v/>
      </c>
      <c r="D280" s="10">
        <f>IF(268&lt;=$B$7*12,B280*$B$6/12,"")</f>
        <v/>
      </c>
      <c r="E280" s="10">
        <f>IF(268&lt;=$B$7*12,C280-D280,"")</f>
        <v/>
      </c>
      <c r="F280" s="10">
        <f>IF(268&lt;=$B$7*12,MAX(0,B280-E280),"")</f>
        <v/>
      </c>
    </row>
    <row r="281">
      <c r="A281" s="4">
        <f>IF(269&lt;=$B$7*12,269,"")</f>
        <v/>
      </c>
      <c r="B281" s="10">
        <f>IF(269&lt;=$B$7*12,F280,"")</f>
        <v/>
      </c>
      <c r="C281" s="10">
        <f>IF(269&lt;=$B$7*12,$B$8,"")</f>
        <v/>
      </c>
      <c r="D281" s="10">
        <f>IF(269&lt;=$B$7*12,B281*$B$6/12,"")</f>
        <v/>
      </c>
      <c r="E281" s="10">
        <f>IF(269&lt;=$B$7*12,C281-D281,"")</f>
        <v/>
      </c>
      <c r="F281" s="10">
        <f>IF(269&lt;=$B$7*12,MAX(0,B281-E281),"")</f>
        <v/>
      </c>
    </row>
    <row r="282">
      <c r="A282" s="4">
        <f>IF(270&lt;=$B$7*12,270,"")</f>
        <v/>
      </c>
      <c r="B282" s="10">
        <f>IF(270&lt;=$B$7*12,F281,"")</f>
        <v/>
      </c>
      <c r="C282" s="10">
        <f>IF(270&lt;=$B$7*12,$B$8,"")</f>
        <v/>
      </c>
      <c r="D282" s="10">
        <f>IF(270&lt;=$B$7*12,B282*$B$6/12,"")</f>
        <v/>
      </c>
      <c r="E282" s="10">
        <f>IF(270&lt;=$B$7*12,C282-D282,"")</f>
        <v/>
      </c>
      <c r="F282" s="10">
        <f>IF(270&lt;=$B$7*12,MAX(0,B282-E282),"")</f>
        <v/>
      </c>
    </row>
    <row r="283">
      <c r="A283" s="4">
        <f>IF(271&lt;=$B$7*12,271,"")</f>
        <v/>
      </c>
      <c r="B283" s="10">
        <f>IF(271&lt;=$B$7*12,F282,"")</f>
        <v/>
      </c>
      <c r="C283" s="10">
        <f>IF(271&lt;=$B$7*12,$B$8,"")</f>
        <v/>
      </c>
      <c r="D283" s="10">
        <f>IF(271&lt;=$B$7*12,B283*$B$6/12,"")</f>
        <v/>
      </c>
      <c r="E283" s="10">
        <f>IF(271&lt;=$B$7*12,C283-D283,"")</f>
        <v/>
      </c>
      <c r="F283" s="10">
        <f>IF(271&lt;=$B$7*12,MAX(0,B283-E283),"")</f>
        <v/>
      </c>
    </row>
    <row r="284">
      <c r="A284" s="4">
        <f>IF(272&lt;=$B$7*12,272,"")</f>
        <v/>
      </c>
      <c r="B284" s="10">
        <f>IF(272&lt;=$B$7*12,F283,"")</f>
        <v/>
      </c>
      <c r="C284" s="10">
        <f>IF(272&lt;=$B$7*12,$B$8,"")</f>
        <v/>
      </c>
      <c r="D284" s="10">
        <f>IF(272&lt;=$B$7*12,B284*$B$6/12,"")</f>
        <v/>
      </c>
      <c r="E284" s="10">
        <f>IF(272&lt;=$B$7*12,C284-D284,"")</f>
        <v/>
      </c>
      <c r="F284" s="10">
        <f>IF(272&lt;=$B$7*12,MAX(0,B284-E284),"")</f>
        <v/>
      </c>
    </row>
    <row r="285">
      <c r="A285" s="4">
        <f>IF(273&lt;=$B$7*12,273,"")</f>
        <v/>
      </c>
      <c r="B285" s="10">
        <f>IF(273&lt;=$B$7*12,F284,"")</f>
        <v/>
      </c>
      <c r="C285" s="10">
        <f>IF(273&lt;=$B$7*12,$B$8,"")</f>
        <v/>
      </c>
      <c r="D285" s="10">
        <f>IF(273&lt;=$B$7*12,B285*$B$6/12,"")</f>
        <v/>
      </c>
      <c r="E285" s="10">
        <f>IF(273&lt;=$B$7*12,C285-D285,"")</f>
        <v/>
      </c>
      <c r="F285" s="10">
        <f>IF(273&lt;=$B$7*12,MAX(0,B285-E285),"")</f>
        <v/>
      </c>
    </row>
    <row r="286">
      <c r="A286" s="4">
        <f>IF(274&lt;=$B$7*12,274,"")</f>
        <v/>
      </c>
      <c r="B286" s="10">
        <f>IF(274&lt;=$B$7*12,F285,"")</f>
        <v/>
      </c>
      <c r="C286" s="10">
        <f>IF(274&lt;=$B$7*12,$B$8,"")</f>
        <v/>
      </c>
      <c r="D286" s="10">
        <f>IF(274&lt;=$B$7*12,B286*$B$6/12,"")</f>
        <v/>
      </c>
      <c r="E286" s="10">
        <f>IF(274&lt;=$B$7*12,C286-D286,"")</f>
        <v/>
      </c>
      <c r="F286" s="10">
        <f>IF(274&lt;=$B$7*12,MAX(0,B286-E286),"")</f>
        <v/>
      </c>
    </row>
    <row r="287">
      <c r="A287" s="4">
        <f>IF(275&lt;=$B$7*12,275,"")</f>
        <v/>
      </c>
      <c r="B287" s="10">
        <f>IF(275&lt;=$B$7*12,F286,"")</f>
        <v/>
      </c>
      <c r="C287" s="10">
        <f>IF(275&lt;=$B$7*12,$B$8,"")</f>
        <v/>
      </c>
      <c r="D287" s="10">
        <f>IF(275&lt;=$B$7*12,B287*$B$6/12,"")</f>
        <v/>
      </c>
      <c r="E287" s="10">
        <f>IF(275&lt;=$B$7*12,C287-D287,"")</f>
        <v/>
      </c>
      <c r="F287" s="10">
        <f>IF(275&lt;=$B$7*12,MAX(0,B287-E287),"")</f>
        <v/>
      </c>
    </row>
    <row r="288">
      <c r="A288" s="4">
        <f>IF(276&lt;=$B$7*12,276,"")</f>
        <v/>
      </c>
      <c r="B288" s="10">
        <f>IF(276&lt;=$B$7*12,F287,"")</f>
        <v/>
      </c>
      <c r="C288" s="10">
        <f>IF(276&lt;=$B$7*12,$B$8,"")</f>
        <v/>
      </c>
      <c r="D288" s="10">
        <f>IF(276&lt;=$B$7*12,B288*$B$6/12,"")</f>
        <v/>
      </c>
      <c r="E288" s="10">
        <f>IF(276&lt;=$B$7*12,C288-D288,"")</f>
        <v/>
      </c>
      <c r="F288" s="10">
        <f>IF(276&lt;=$B$7*12,MAX(0,B288-E288),"")</f>
        <v/>
      </c>
    </row>
    <row r="289">
      <c r="A289" s="4">
        <f>IF(277&lt;=$B$7*12,277,"")</f>
        <v/>
      </c>
      <c r="B289" s="10">
        <f>IF(277&lt;=$B$7*12,F288,"")</f>
        <v/>
      </c>
      <c r="C289" s="10">
        <f>IF(277&lt;=$B$7*12,$B$8,"")</f>
        <v/>
      </c>
      <c r="D289" s="10">
        <f>IF(277&lt;=$B$7*12,B289*$B$6/12,"")</f>
        <v/>
      </c>
      <c r="E289" s="10">
        <f>IF(277&lt;=$B$7*12,C289-D289,"")</f>
        <v/>
      </c>
      <c r="F289" s="10">
        <f>IF(277&lt;=$B$7*12,MAX(0,B289-E289),"")</f>
        <v/>
      </c>
    </row>
    <row r="290">
      <c r="A290" s="4">
        <f>IF(278&lt;=$B$7*12,278,"")</f>
        <v/>
      </c>
      <c r="B290" s="10">
        <f>IF(278&lt;=$B$7*12,F289,"")</f>
        <v/>
      </c>
      <c r="C290" s="10">
        <f>IF(278&lt;=$B$7*12,$B$8,"")</f>
        <v/>
      </c>
      <c r="D290" s="10">
        <f>IF(278&lt;=$B$7*12,B290*$B$6/12,"")</f>
        <v/>
      </c>
      <c r="E290" s="10">
        <f>IF(278&lt;=$B$7*12,C290-D290,"")</f>
        <v/>
      </c>
      <c r="F290" s="10">
        <f>IF(278&lt;=$B$7*12,MAX(0,B290-E290),"")</f>
        <v/>
      </c>
    </row>
    <row r="291">
      <c r="A291" s="4">
        <f>IF(279&lt;=$B$7*12,279,"")</f>
        <v/>
      </c>
      <c r="B291" s="10">
        <f>IF(279&lt;=$B$7*12,F290,"")</f>
        <v/>
      </c>
      <c r="C291" s="10">
        <f>IF(279&lt;=$B$7*12,$B$8,"")</f>
        <v/>
      </c>
      <c r="D291" s="10">
        <f>IF(279&lt;=$B$7*12,B291*$B$6/12,"")</f>
        <v/>
      </c>
      <c r="E291" s="10">
        <f>IF(279&lt;=$B$7*12,C291-D291,"")</f>
        <v/>
      </c>
      <c r="F291" s="10">
        <f>IF(279&lt;=$B$7*12,MAX(0,B291-E291),"")</f>
        <v/>
      </c>
    </row>
    <row r="292">
      <c r="A292" s="4">
        <f>IF(280&lt;=$B$7*12,280,"")</f>
        <v/>
      </c>
      <c r="B292" s="10">
        <f>IF(280&lt;=$B$7*12,F291,"")</f>
        <v/>
      </c>
      <c r="C292" s="10">
        <f>IF(280&lt;=$B$7*12,$B$8,"")</f>
        <v/>
      </c>
      <c r="D292" s="10">
        <f>IF(280&lt;=$B$7*12,B292*$B$6/12,"")</f>
        <v/>
      </c>
      <c r="E292" s="10">
        <f>IF(280&lt;=$B$7*12,C292-D292,"")</f>
        <v/>
      </c>
      <c r="F292" s="10">
        <f>IF(280&lt;=$B$7*12,MAX(0,B292-E292),"")</f>
        <v/>
      </c>
    </row>
    <row r="293">
      <c r="A293" s="4">
        <f>IF(281&lt;=$B$7*12,281,"")</f>
        <v/>
      </c>
      <c r="B293" s="10">
        <f>IF(281&lt;=$B$7*12,F292,"")</f>
        <v/>
      </c>
      <c r="C293" s="10">
        <f>IF(281&lt;=$B$7*12,$B$8,"")</f>
        <v/>
      </c>
      <c r="D293" s="10">
        <f>IF(281&lt;=$B$7*12,B293*$B$6/12,"")</f>
        <v/>
      </c>
      <c r="E293" s="10">
        <f>IF(281&lt;=$B$7*12,C293-D293,"")</f>
        <v/>
      </c>
      <c r="F293" s="10">
        <f>IF(281&lt;=$B$7*12,MAX(0,B293-E293),"")</f>
        <v/>
      </c>
    </row>
    <row r="294">
      <c r="A294" s="4">
        <f>IF(282&lt;=$B$7*12,282,"")</f>
        <v/>
      </c>
      <c r="B294" s="10">
        <f>IF(282&lt;=$B$7*12,F293,"")</f>
        <v/>
      </c>
      <c r="C294" s="10">
        <f>IF(282&lt;=$B$7*12,$B$8,"")</f>
        <v/>
      </c>
      <c r="D294" s="10">
        <f>IF(282&lt;=$B$7*12,B294*$B$6/12,"")</f>
        <v/>
      </c>
      <c r="E294" s="10">
        <f>IF(282&lt;=$B$7*12,C294-D294,"")</f>
        <v/>
      </c>
      <c r="F294" s="10">
        <f>IF(282&lt;=$B$7*12,MAX(0,B294-E294),"")</f>
        <v/>
      </c>
    </row>
    <row r="295">
      <c r="A295" s="4">
        <f>IF(283&lt;=$B$7*12,283,"")</f>
        <v/>
      </c>
      <c r="B295" s="10">
        <f>IF(283&lt;=$B$7*12,F294,"")</f>
        <v/>
      </c>
      <c r="C295" s="10">
        <f>IF(283&lt;=$B$7*12,$B$8,"")</f>
        <v/>
      </c>
      <c r="D295" s="10">
        <f>IF(283&lt;=$B$7*12,B295*$B$6/12,"")</f>
        <v/>
      </c>
      <c r="E295" s="10">
        <f>IF(283&lt;=$B$7*12,C295-D295,"")</f>
        <v/>
      </c>
      <c r="F295" s="10">
        <f>IF(283&lt;=$B$7*12,MAX(0,B295-E295),"")</f>
        <v/>
      </c>
    </row>
    <row r="296">
      <c r="A296" s="4">
        <f>IF(284&lt;=$B$7*12,284,"")</f>
        <v/>
      </c>
      <c r="B296" s="10">
        <f>IF(284&lt;=$B$7*12,F295,"")</f>
        <v/>
      </c>
      <c r="C296" s="10">
        <f>IF(284&lt;=$B$7*12,$B$8,"")</f>
        <v/>
      </c>
      <c r="D296" s="10">
        <f>IF(284&lt;=$B$7*12,B296*$B$6/12,"")</f>
        <v/>
      </c>
      <c r="E296" s="10">
        <f>IF(284&lt;=$B$7*12,C296-D296,"")</f>
        <v/>
      </c>
      <c r="F296" s="10">
        <f>IF(284&lt;=$B$7*12,MAX(0,B296-E296),"")</f>
        <v/>
      </c>
    </row>
    <row r="297">
      <c r="A297" s="4">
        <f>IF(285&lt;=$B$7*12,285,"")</f>
        <v/>
      </c>
      <c r="B297" s="10">
        <f>IF(285&lt;=$B$7*12,F296,"")</f>
        <v/>
      </c>
      <c r="C297" s="10">
        <f>IF(285&lt;=$B$7*12,$B$8,"")</f>
        <v/>
      </c>
      <c r="D297" s="10">
        <f>IF(285&lt;=$B$7*12,B297*$B$6/12,"")</f>
        <v/>
      </c>
      <c r="E297" s="10">
        <f>IF(285&lt;=$B$7*12,C297-D297,"")</f>
        <v/>
      </c>
      <c r="F297" s="10">
        <f>IF(285&lt;=$B$7*12,MAX(0,B297-E297),"")</f>
        <v/>
      </c>
    </row>
    <row r="298">
      <c r="A298" s="4">
        <f>IF(286&lt;=$B$7*12,286,"")</f>
        <v/>
      </c>
      <c r="B298" s="10">
        <f>IF(286&lt;=$B$7*12,F297,"")</f>
        <v/>
      </c>
      <c r="C298" s="10">
        <f>IF(286&lt;=$B$7*12,$B$8,"")</f>
        <v/>
      </c>
      <c r="D298" s="10">
        <f>IF(286&lt;=$B$7*12,B298*$B$6/12,"")</f>
        <v/>
      </c>
      <c r="E298" s="10">
        <f>IF(286&lt;=$B$7*12,C298-D298,"")</f>
        <v/>
      </c>
      <c r="F298" s="10">
        <f>IF(286&lt;=$B$7*12,MAX(0,B298-E298),"")</f>
        <v/>
      </c>
    </row>
    <row r="299">
      <c r="A299" s="4">
        <f>IF(287&lt;=$B$7*12,287,"")</f>
        <v/>
      </c>
      <c r="B299" s="10">
        <f>IF(287&lt;=$B$7*12,F298,"")</f>
        <v/>
      </c>
      <c r="C299" s="10">
        <f>IF(287&lt;=$B$7*12,$B$8,"")</f>
        <v/>
      </c>
      <c r="D299" s="10">
        <f>IF(287&lt;=$B$7*12,B299*$B$6/12,"")</f>
        <v/>
      </c>
      <c r="E299" s="10">
        <f>IF(287&lt;=$B$7*12,C299-D299,"")</f>
        <v/>
      </c>
      <c r="F299" s="10">
        <f>IF(287&lt;=$B$7*12,MAX(0,B299-E299),"")</f>
        <v/>
      </c>
    </row>
    <row r="300">
      <c r="A300" s="4">
        <f>IF(288&lt;=$B$7*12,288,"")</f>
        <v/>
      </c>
      <c r="B300" s="10">
        <f>IF(288&lt;=$B$7*12,F299,"")</f>
        <v/>
      </c>
      <c r="C300" s="10">
        <f>IF(288&lt;=$B$7*12,$B$8,"")</f>
        <v/>
      </c>
      <c r="D300" s="10">
        <f>IF(288&lt;=$B$7*12,B300*$B$6/12,"")</f>
        <v/>
      </c>
      <c r="E300" s="10">
        <f>IF(288&lt;=$B$7*12,C300-D300,"")</f>
        <v/>
      </c>
      <c r="F300" s="10">
        <f>IF(288&lt;=$B$7*12,MAX(0,B300-E300),"")</f>
        <v/>
      </c>
    </row>
    <row r="301">
      <c r="A301" s="4">
        <f>IF(289&lt;=$B$7*12,289,"")</f>
        <v/>
      </c>
      <c r="B301" s="10">
        <f>IF(289&lt;=$B$7*12,F300,"")</f>
        <v/>
      </c>
      <c r="C301" s="10">
        <f>IF(289&lt;=$B$7*12,$B$8,"")</f>
        <v/>
      </c>
      <c r="D301" s="10">
        <f>IF(289&lt;=$B$7*12,B301*$B$6/12,"")</f>
        <v/>
      </c>
      <c r="E301" s="10">
        <f>IF(289&lt;=$B$7*12,C301-D301,"")</f>
        <v/>
      </c>
      <c r="F301" s="10">
        <f>IF(289&lt;=$B$7*12,MAX(0,B301-E301),"")</f>
        <v/>
      </c>
    </row>
    <row r="302">
      <c r="A302" s="4">
        <f>IF(290&lt;=$B$7*12,290,"")</f>
        <v/>
      </c>
      <c r="B302" s="10">
        <f>IF(290&lt;=$B$7*12,F301,"")</f>
        <v/>
      </c>
      <c r="C302" s="10">
        <f>IF(290&lt;=$B$7*12,$B$8,"")</f>
        <v/>
      </c>
      <c r="D302" s="10">
        <f>IF(290&lt;=$B$7*12,B302*$B$6/12,"")</f>
        <v/>
      </c>
      <c r="E302" s="10">
        <f>IF(290&lt;=$B$7*12,C302-D302,"")</f>
        <v/>
      </c>
      <c r="F302" s="10">
        <f>IF(290&lt;=$B$7*12,MAX(0,B302-E302),"")</f>
        <v/>
      </c>
    </row>
    <row r="303">
      <c r="A303" s="4">
        <f>IF(291&lt;=$B$7*12,291,"")</f>
        <v/>
      </c>
      <c r="B303" s="10">
        <f>IF(291&lt;=$B$7*12,F302,"")</f>
        <v/>
      </c>
      <c r="C303" s="10">
        <f>IF(291&lt;=$B$7*12,$B$8,"")</f>
        <v/>
      </c>
      <c r="D303" s="10">
        <f>IF(291&lt;=$B$7*12,B303*$B$6/12,"")</f>
        <v/>
      </c>
      <c r="E303" s="10">
        <f>IF(291&lt;=$B$7*12,C303-D303,"")</f>
        <v/>
      </c>
      <c r="F303" s="10">
        <f>IF(291&lt;=$B$7*12,MAX(0,B303-E303),"")</f>
        <v/>
      </c>
    </row>
    <row r="304">
      <c r="A304" s="4">
        <f>IF(292&lt;=$B$7*12,292,"")</f>
        <v/>
      </c>
      <c r="B304" s="10">
        <f>IF(292&lt;=$B$7*12,F303,"")</f>
        <v/>
      </c>
      <c r="C304" s="10">
        <f>IF(292&lt;=$B$7*12,$B$8,"")</f>
        <v/>
      </c>
      <c r="D304" s="10">
        <f>IF(292&lt;=$B$7*12,B304*$B$6/12,"")</f>
        <v/>
      </c>
      <c r="E304" s="10">
        <f>IF(292&lt;=$B$7*12,C304-D304,"")</f>
        <v/>
      </c>
      <c r="F304" s="10">
        <f>IF(292&lt;=$B$7*12,MAX(0,B304-E304),"")</f>
        <v/>
      </c>
    </row>
    <row r="305">
      <c r="A305" s="4">
        <f>IF(293&lt;=$B$7*12,293,"")</f>
        <v/>
      </c>
      <c r="B305" s="10">
        <f>IF(293&lt;=$B$7*12,F304,"")</f>
        <v/>
      </c>
      <c r="C305" s="10">
        <f>IF(293&lt;=$B$7*12,$B$8,"")</f>
        <v/>
      </c>
      <c r="D305" s="10">
        <f>IF(293&lt;=$B$7*12,B305*$B$6/12,"")</f>
        <v/>
      </c>
      <c r="E305" s="10">
        <f>IF(293&lt;=$B$7*12,C305-D305,"")</f>
        <v/>
      </c>
      <c r="F305" s="10">
        <f>IF(293&lt;=$B$7*12,MAX(0,B305-E305),"")</f>
        <v/>
      </c>
    </row>
    <row r="306">
      <c r="A306" s="4">
        <f>IF(294&lt;=$B$7*12,294,"")</f>
        <v/>
      </c>
      <c r="B306" s="10">
        <f>IF(294&lt;=$B$7*12,F305,"")</f>
        <v/>
      </c>
      <c r="C306" s="10">
        <f>IF(294&lt;=$B$7*12,$B$8,"")</f>
        <v/>
      </c>
      <c r="D306" s="10">
        <f>IF(294&lt;=$B$7*12,B306*$B$6/12,"")</f>
        <v/>
      </c>
      <c r="E306" s="10">
        <f>IF(294&lt;=$B$7*12,C306-D306,"")</f>
        <v/>
      </c>
      <c r="F306" s="10">
        <f>IF(294&lt;=$B$7*12,MAX(0,B306-E306),"")</f>
        <v/>
      </c>
    </row>
    <row r="307">
      <c r="A307" s="4">
        <f>IF(295&lt;=$B$7*12,295,"")</f>
        <v/>
      </c>
      <c r="B307" s="10">
        <f>IF(295&lt;=$B$7*12,F306,"")</f>
        <v/>
      </c>
      <c r="C307" s="10">
        <f>IF(295&lt;=$B$7*12,$B$8,"")</f>
        <v/>
      </c>
      <c r="D307" s="10">
        <f>IF(295&lt;=$B$7*12,B307*$B$6/12,"")</f>
        <v/>
      </c>
      <c r="E307" s="10">
        <f>IF(295&lt;=$B$7*12,C307-D307,"")</f>
        <v/>
      </c>
      <c r="F307" s="10">
        <f>IF(295&lt;=$B$7*12,MAX(0,B307-E307),"")</f>
        <v/>
      </c>
    </row>
    <row r="308">
      <c r="A308" s="4">
        <f>IF(296&lt;=$B$7*12,296,"")</f>
        <v/>
      </c>
      <c r="B308" s="10">
        <f>IF(296&lt;=$B$7*12,F307,"")</f>
        <v/>
      </c>
      <c r="C308" s="10">
        <f>IF(296&lt;=$B$7*12,$B$8,"")</f>
        <v/>
      </c>
      <c r="D308" s="10">
        <f>IF(296&lt;=$B$7*12,B308*$B$6/12,"")</f>
        <v/>
      </c>
      <c r="E308" s="10">
        <f>IF(296&lt;=$B$7*12,C308-D308,"")</f>
        <v/>
      </c>
      <c r="F308" s="10">
        <f>IF(296&lt;=$B$7*12,MAX(0,B308-E308),"")</f>
        <v/>
      </c>
    </row>
    <row r="309">
      <c r="A309" s="4">
        <f>IF(297&lt;=$B$7*12,297,"")</f>
        <v/>
      </c>
      <c r="B309" s="10">
        <f>IF(297&lt;=$B$7*12,F308,"")</f>
        <v/>
      </c>
      <c r="C309" s="10">
        <f>IF(297&lt;=$B$7*12,$B$8,"")</f>
        <v/>
      </c>
      <c r="D309" s="10">
        <f>IF(297&lt;=$B$7*12,B309*$B$6/12,"")</f>
        <v/>
      </c>
      <c r="E309" s="10">
        <f>IF(297&lt;=$B$7*12,C309-D309,"")</f>
        <v/>
      </c>
      <c r="F309" s="10">
        <f>IF(297&lt;=$B$7*12,MAX(0,B309-E309),"")</f>
        <v/>
      </c>
    </row>
    <row r="310">
      <c r="A310" s="4">
        <f>IF(298&lt;=$B$7*12,298,"")</f>
        <v/>
      </c>
      <c r="B310" s="10">
        <f>IF(298&lt;=$B$7*12,F309,"")</f>
        <v/>
      </c>
      <c r="C310" s="10">
        <f>IF(298&lt;=$B$7*12,$B$8,"")</f>
        <v/>
      </c>
      <c r="D310" s="10">
        <f>IF(298&lt;=$B$7*12,B310*$B$6/12,"")</f>
        <v/>
      </c>
      <c r="E310" s="10">
        <f>IF(298&lt;=$B$7*12,C310-D310,"")</f>
        <v/>
      </c>
      <c r="F310" s="10">
        <f>IF(298&lt;=$B$7*12,MAX(0,B310-E310),"")</f>
        <v/>
      </c>
    </row>
    <row r="311">
      <c r="A311" s="4">
        <f>IF(299&lt;=$B$7*12,299,"")</f>
        <v/>
      </c>
      <c r="B311" s="10">
        <f>IF(299&lt;=$B$7*12,F310,"")</f>
        <v/>
      </c>
      <c r="C311" s="10">
        <f>IF(299&lt;=$B$7*12,$B$8,"")</f>
        <v/>
      </c>
      <c r="D311" s="10">
        <f>IF(299&lt;=$B$7*12,B311*$B$6/12,"")</f>
        <v/>
      </c>
      <c r="E311" s="10">
        <f>IF(299&lt;=$B$7*12,C311-D311,"")</f>
        <v/>
      </c>
      <c r="F311" s="10">
        <f>IF(299&lt;=$B$7*12,MAX(0,B311-E311),"")</f>
        <v/>
      </c>
    </row>
    <row r="312">
      <c r="A312" s="4">
        <f>IF(300&lt;=$B$7*12,300,"")</f>
        <v/>
      </c>
      <c r="B312" s="10">
        <f>IF(300&lt;=$B$7*12,F311,"")</f>
        <v/>
      </c>
      <c r="C312" s="10">
        <f>IF(300&lt;=$B$7*12,$B$8,"")</f>
        <v/>
      </c>
      <c r="D312" s="10">
        <f>IF(300&lt;=$B$7*12,B312*$B$6/12,"")</f>
        <v/>
      </c>
      <c r="E312" s="10">
        <f>IF(300&lt;=$B$7*12,C312-D312,"")</f>
        <v/>
      </c>
      <c r="F312" s="10">
        <f>IF(300&lt;=$B$7*12,MAX(0,B312-E312),"")</f>
        <v/>
      </c>
    </row>
    <row r="313">
      <c r="A313" s="4">
        <f>IF(301&lt;=$B$7*12,301,"")</f>
        <v/>
      </c>
      <c r="B313" s="10">
        <f>IF(301&lt;=$B$7*12,F312,"")</f>
        <v/>
      </c>
      <c r="C313" s="10">
        <f>IF(301&lt;=$B$7*12,$B$8,"")</f>
        <v/>
      </c>
      <c r="D313" s="10">
        <f>IF(301&lt;=$B$7*12,B313*$B$6/12,"")</f>
        <v/>
      </c>
      <c r="E313" s="10">
        <f>IF(301&lt;=$B$7*12,C313-D313,"")</f>
        <v/>
      </c>
      <c r="F313" s="10">
        <f>IF(301&lt;=$B$7*12,MAX(0,B313-E313),"")</f>
        <v/>
      </c>
    </row>
    <row r="314">
      <c r="A314" s="4">
        <f>IF(302&lt;=$B$7*12,302,"")</f>
        <v/>
      </c>
      <c r="B314" s="10">
        <f>IF(302&lt;=$B$7*12,F313,"")</f>
        <v/>
      </c>
      <c r="C314" s="10">
        <f>IF(302&lt;=$B$7*12,$B$8,"")</f>
        <v/>
      </c>
      <c r="D314" s="10">
        <f>IF(302&lt;=$B$7*12,B314*$B$6/12,"")</f>
        <v/>
      </c>
      <c r="E314" s="10">
        <f>IF(302&lt;=$B$7*12,C314-D314,"")</f>
        <v/>
      </c>
      <c r="F314" s="10">
        <f>IF(302&lt;=$B$7*12,MAX(0,B314-E314),"")</f>
        <v/>
      </c>
    </row>
    <row r="315">
      <c r="A315" s="4">
        <f>IF(303&lt;=$B$7*12,303,"")</f>
        <v/>
      </c>
      <c r="B315" s="10">
        <f>IF(303&lt;=$B$7*12,F314,"")</f>
        <v/>
      </c>
      <c r="C315" s="10">
        <f>IF(303&lt;=$B$7*12,$B$8,"")</f>
        <v/>
      </c>
      <c r="D315" s="10">
        <f>IF(303&lt;=$B$7*12,B315*$B$6/12,"")</f>
        <v/>
      </c>
      <c r="E315" s="10">
        <f>IF(303&lt;=$B$7*12,C315-D315,"")</f>
        <v/>
      </c>
      <c r="F315" s="10">
        <f>IF(303&lt;=$B$7*12,MAX(0,B315-E315),"")</f>
        <v/>
      </c>
    </row>
    <row r="316">
      <c r="A316" s="4">
        <f>IF(304&lt;=$B$7*12,304,"")</f>
        <v/>
      </c>
      <c r="B316" s="10">
        <f>IF(304&lt;=$B$7*12,F315,"")</f>
        <v/>
      </c>
      <c r="C316" s="10">
        <f>IF(304&lt;=$B$7*12,$B$8,"")</f>
        <v/>
      </c>
      <c r="D316" s="10">
        <f>IF(304&lt;=$B$7*12,B316*$B$6/12,"")</f>
        <v/>
      </c>
      <c r="E316" s="10">
        <f>IF(304&lt;=$B$7*12,C316-D316,"")</f>
        <v/>
      </c>
      <c r="F316" s="10">
        <f>IF(304&lt;=$B$7*12,MAX(0,B316-E316),"")</f>
        <v/>
      </c>
    </row>
    <row r="317">
      <c r="A317" s="4">
        <f>IF(305&lt;=$B$7*12,305,"")</f>
        <v/>
      </c>
      <c r="B317" s="10">
        <f>IF(305&lt;=$B$7*12,F316,"")</f>
        <v/>
      </c>
      <c r="C317" s="10">
        <f>IF(305&lt;=$B$7*12,$B$8,"")</f>
        <v/>
      </c>
      <c r="D317" s="10">
        <f>IF(305&lt;=$B$7*12,B317*$B$6/12,"")</f>
        <v/>
      </c>
      <c r="E317" s="10">
        <f>IF(305&lt;=$B$7*12,C317-D317,"")</f>
        <v/>
      </c>
      <c r="F317" s="10">
        <f>IF(305&lt;=$B$7*12,MAX(0,B317-E317),"")</f>
        <v/>
      </c>
    </row>
    <row r="318">
      <c r="A318" s="4">
        <f>IF(306&lt;=$B$7*12,306,"")</f>
        <v/>
      </c>
      <c r="B318" s="10">
        <f>IF(306&lt;=$B$7*12,F317,"")</f>
        <v/>
      </c>
      <c r="C318" s="10">
        <f>IF(306&lt;=$B$7*12,$B$8,"")</f>
        <v/>
      </c>
      <c r="D318" s="10">
        <f>IF(306&lt;=$B$7*12,B318*$B$6/12,"")</f>
        <v/>
      </c>
      <c r="E318" s="10">
        <f>IF(306&lt;=$B$7*12,C318-D318,"")</f>
        <v/>
      </c>
      <c r="F318" s="10">
        <f>IF(306&lt;=$B$7*12,MAX(0,B318-E318),"")</f>
        <v/>
      </c>
    </row>
    <row r="319">
      <c r="A319" s="4">
        <f>IF(307&lt;=$B$7*12,307,"")</f>
        <v/>
      </c>
      <c r="B319" s="10">
        <f>IF(307&lt;=$B$7*12,F318,"")</f>
        <v/>
      </c>
      <c r="C319" s="10">
        <f>IF(307&lt;=$B$7*12,$B$8,"")</f>
        <v/>
      </c>
      <c r="D319" s="10">
        <f>IF(307&lt;=$B$7*12,B319*$B$6/12,"")</f>
        <v/>
      </c>
      <c r="E319" s="10">
        <f>IF(307&lt;=$B$7*12,C319-D319,"")</f>
        <v/>
      </c>
      <c r="F319" s="10">
        <f>IF(307&lt;=$B$7*12,MAX(0,B319-E319),"")</f>
        <v/>
      </c>
    </row>
    <row r="320">
      <c r="A320" s="4">
        <f>IF(308&lt;=$B$7*12,308,"")</f>
        <v/>
      </c>
      <c r="B320" s="10">
        <f>IF(308&lt;=$B$7*12,F319,"")</f>
        <v/>
      </c>
      <c r="C320" s="10">
        <f>IF(308&lt;=$B$7*12,$B$8,"")</f>
        <v/>
      </c>
      <c r="D320" s="10">
        <f>IF(308&lt;=$B$7*12,B320*$B$6/12,"")</f>
        <v/>
      </c>
      <c r="E320" s="10">
        <f>IF(308&lt;=$B$7*12,C320-D320,"")</f>
        <v/>
      </c>
      <c r="F320" s="10">
        <f>IF(308&lt;=$B$7*12,MAX(0,B320-E320),"")</f>
        <v/>
      </c>
    </row>
    <row r="321">
      <c r="A321" s="4">
        <f>IF(309&lt;=$B$7*12,309,"")</f>
        <v/>
      </c>
      <c r="B321" s="10">
        <f>IF(309&lt;=$B$7*12,F320,"")</f>
        <v/>
      </c>
      <c r="C321" s="10">
        <f>IF(309&lt;=$B$7*12,$B$8,"")</f>
        <v/>
      </c>
      <c r="D321" s="10">
        <f>IF(309&lt;=$B$7*12,B321*$B$6/12,"")</f>
        <v/>
      </c>
      <c r="E321" s="10">
        <f>IF(309&lt;=$B$7*12,C321-D321,"")</f>
        <v/>
      </c>
      <c r="F321" s="10">
        <f>IF(309&lt;=$B$7*12,MAX(0,B321-E321),"")</f>
        <v/>
      </c>
    </row>
    <row r="322">
      <c r="A322" s="4">
        <f>IF(310&lt;=$B$7*12,310,"")</f>
        <v/>
      </c>
      <c r="B322" s="10">
        <f>IF(310&lt;=$B$7*12,F321,"")</f>
        <v/>
      </c>
      <c r="C322" s="10">
        <f>IF(310&lt;=$B$7*12,$B$8,"")</f>
        <v/>
      </c>
      <c r="D322" s="10">
        <f>IF(310&lt;=$B$7*12,B322*$B$6/12,"")</f>
        <v/>
      </c>
      <c r="E322" s="10">
        <f>IF(310&lt;=$B$7*12,C322-D322,"")</f>
        <v/>
      </c>
      <c r="F322" s="10">
        <f>IF(310&lt;=$B$7*12,MAX(0,B322-E322),"")</f>
        <v/>
      </c>
    </row>
    <row r="323">
      <c r="A323" s="4">
        <f>IF(311&lt;=$B$7*12,311,"")</f>
        <v/>
      </c>
      <c r="B323" s="10">
        <f>IF(311&lt;=$B$7*12,F322,"")</f>
        <v/>
      </c>
      <c r="C323" s="10">
        <f>IF(311&lt;=$B$7*12,$B$8,"")</f>
        <v/>
      </c>
      <c r="D323" s="10">
        <f>IF(311&lt;=$B$7*12,B323*$B$6/12,"")</f>
        <v/>
      </c>
      <c r="E323" s="10">
        <f>IF(311&lt;=$B$7*12,C323-D323,"")</f>
        <v/>
      </c>
      <c r="F323" s="10">
        <f>IF(311&lt;=$B$7*12,MAX(0,B323-E323),"")</f>
        <v/>
      </c>
    </row>
    <row r="324">
      <c r="A324" s="4">
        <f>IF(312&lt;=$B$7*12,312,"")</f>
        <v/>
      </c>
      <c r="B324" s="10">
        <f>IF(312&lt;=$B$7*12,F323,"")</f>
        <v/>
      </c>
      <c r="C324" s="10">
        <f>IF(312&lt;=$B$7*12,$B$8,"")</f>
        <v/>
      </c>
      <c r="D324" s="10">
        <f>IF(312&lt;=$B$7*12,B324*$B$6/12,"")</f>
        <v/>
      </c>
      <c r="E324" s="10">
        <f>IF(312&lt;=$B$7*12,C324-D324,"")</f>
        <v/>
      </c>
      <c r="F324" s="10">
        <f>IF(312&lt;=$B$7*12,MAX(0,B324-E324),"")</f>
        <v/>
      </c>
    </row>
    <row r="325">
      <c r="A325" s="4">
        <f>IF(313&lt;=$B$7*12,313,"")</f>
        <v/>
      </c>
      <c r="B325" s="10">
        <f>IF(313&lt;=$B$7*12,F324,"")</f>
        <v/>
      </c>
      <c r="C325" s="10">
        <f>IF(313&lt;=$B$7*12,$B$8,"")</f>
        <v/>
      </c>
      <c r="D325" s="10">
        <f>IF(313&lt;=$B$7*12,B325*$B$6/12,"")</f>
        <v/>
      </c>
      <c r="E325" s="10">
        <f>IF(313&lt;=$B$7*12,C325-D325,"")</f>
        <v/>
      </c>
      <c r="F325" s="10">
        <f>IF(313&lt;=$B$7*12,MAX(0,B325-E325),"")</f>
        <v/>
      </c>
    </row>
    <row r="326">
      <c r="A326" s="4">
        <f>IF(314&lt;=$B$7*12,314,"")</f>
        <v/>
      </c>
      <c r="B326" s="10">
        <f>IF(314&lt;=$B$7*12,F325,"")</f>
        <v/>
      </c>
      <c r="C326" s="10">
        <f>IF(314&lt;=$B$7*12,$B$8,"")</f>
        <v/>
      </c>
      <c r="D326" s="10">
        <f>IF(314&lt;=$B$7*12,B326*$B$6/12,"")</f>
        <v/>
      </c>
      <c r="E326" s="10">
        <f>IF(314&lt;=$B$7*12,C326-D326,"")</f>
        <v/>
      </c>
      <c r="F326" s="10">
        <f>IF(314&lt;=$B$7*12,MAX(0,B326-E326),"")</f>
        <v/>
      </c>
    </row>
    <row r="327">
      <c r="A327" s="4">
        <f>IF(315&lt;=$B$7*12,315,"")</f>
        <v/>
      </c>
      <c r="B327" s="10">
        <f>IF(315&lt;=$B$7*12,F326,"")</f>
        <v/>
      </c>
      <c r="C327" s="10">
        <f>IF(315&lt;=$B$7*12,$B$8,"")</f>
        <v/>
      </c>
      <c r="D327" s="10">
        <f>IF(315&lt;=$B$7*12,B327*$B$6/12,"")</f>
        <v/>
      </c>
      <c r="E327" s="10">
        <f>IF(315&lt;=$B$7*12,C327-D327,"")</f>
        <v/>
      </c>
      <c r="F327" s="10">
        <f>IF(315&lt;=$B$7*12,MAX(0,B327-E327),"")</f>
        <v/>
      </c>
    </row>
    <row r="328">
      <c r="A328" s="4">
        <f>IF(316&lt;=$B$7*12,316,"")</f>
        <v/>
      </c>
      <c r="B328" s="10">
        <f>IF(316&lt;=$B$7*12,F327,"")</f>
        <v/>
      </c>
      <c r="C328" s="10">
        <f>IF(316&lt;=$B$7*12,$B$8,"")</f>
        <v/>
      </c>
      <c r="D328" s="10">
        <f>IF(316&lt;=$B$7*12,B328*$B$6/12,"")</f>
        <v/>
      </c>
      <c r="E328" s="10">
        <f>IF(316&lt;=$B$7*12,C328-D328,"")</f>
        <v/>
      </c>
      <c r="F328" s="10">
        <f>IF(316&lt;=$B$7*12,MAX(0,B328-E328),"")</f>
        <v/>
      </c>
    </row>
    <row r="329">
      <c r="A329" s="4">
        <f>IF(317&lt;=$B$7*12,317,"")</f>
        <v/>
      </c>
      <c r="B329" s="10">
        <f>IF(317&lt;=$B$7*12,F328,"")</f>
        <v/>
      </c>
      <c r="C329" s="10">
        <f>IF(317&lt;=$B$7*12,$B$8,"")</f>
        <v/>
      </c>
      <c r="D329" s="10">
        <f>IF(317&lt;=$B$7*12,B329*$B$6/12,"")</f>
        <v/>
      </c>
      <c r="E329" s="10">
        <f>IF(317&lt;=$B$7*12,C329-D329,"")</f>
        <v/>
      </c>
      <c r="F329" s="10">
        <f>IF(317&lt;=$B$7*12,MAX(0,B329-E329),"")</f>
        <v/>
      </c>
    </row>
    <row r="330">
      <c r="A330" s="4">
        <f>IF(318&lt;=$B$7*12,318,"")</f>
        <v/>
      </c>
      <c r="B330" s="10">
        <f>IF(318&lt;=$B$7*12,F329,"")</f>
        <v/>
      </c>
      <c r="C330" s="10">
        <f>IF(318&lt;=$B$7*12,$B$8,"")</f>
        <v/>
      </c>
      <c r="D330" s="10">
        <f>IF(318&lt;=$B$7*12,B330*$B$6/12,"")</f>
        <v/>
      </c>
      <c r="E330" s="10">
        <f>IF(318&lt;=$B$7*12,C330-D330,"")</f>
        <v/>
      </c>
      <c r="F330" s="10">
        <f>IF(318&lt;=$B$7*12,MAX(0,B330-E330),"")</f>
        <v/>
      </c>
    </row>
    <row r="331">
      <c r="A331" s="4">
        <f>IF(319&lt;=$B$7*12,319,"")</f>
        <v/>
      </c>
      <c r="B331" s="10">
        <f>IF(319&lt;=$B$7*12,F330,"")</f>
        <v/>
      </c>
      <c r="C331" s="10">
        <f>IF(319&lt;=$B$7*12,$B$8,"")</f>
        <v/>
      </c>
      <c r="D331" s="10">
        <f>IF(319&lt;=$B$7*12,B331*$B$6/12,"")</f>
        <v/>
      </c>
      <c r="E331" s="10">
        <f>IF(319&lt;=$B$7*12,C331-D331,"")</f>
        <v/>
      </c>
      <c r="F331" s="10">
        <f>IF(319&lt;=$B$7*12,MAX(0,B331-E331),"")</f>
        <v/>
      </c>
    </row>
    <row r="332">
      <c r="A332" s="4">
        <f>IF(320&lt;=$B$7*12,320,"")</f>
        <v/>
      </c>
      <c r="B332" s="10">
        <f>IF(320&lt;=$B$7*12,F331,"")</f>
        <v/>
      </c>
      <c r="C332" s="10">
        <f>IF(320&lt;=$B$7*12,$B$8,"")</f>
        <v/>
      </c>
      <c r="D332" s="10">
        <f>IF(320&lt;=$B$7*12,B332*$B$6/12,"")</f>
        <v/>
      </c>
      <c r="E332" s="10">
        <f>IF(320&lt;=$B$7*12,C332-D332,"")</f>
        <v/>
      </c>
      <c r="F332" s="10">
        <f>IF(320&lt;=$B$7*12,MAX(0,B332-E332),"")</f>
        <v/>
      </c>
    </row>
    <row r="333">
      <c r="A333" s="4">
        <f>IF(321&lt;=$B$7*12,321,"")</f>
        <v/>
      </c>
      <c r="B333" s="10">
        <f>IF(321&lt;=$B$7*12,F332,"")</f>
        <v/>
      </c>
      <c r="C333" s="10">
        <f>IF(321&lt;=$B$7*12,$B$8,"")</f>
        <v/>
      </c>
      <c r="D333" s="10">
        <f>IF(321&lt;=$B$7*12,B333*$B$6/12,"")</f>
        <v/>
      </c>
      <c r="E333" s="10">
        <f>IF(321&lt;=$B$7*12,C333-D333,"")</f>
        <v/>
      </c>
      <c r="F333" s="10">
        <f>IF(321&lt;=$B$7*12,MAX(0,B333-E333),"")</f>
        <v/>
      </c>
    </row>
    <row r="334">
      <c r="A334" s="4">
        <f>IF(322&lt;=$B$7*12,322,"")</f>
        <v/>
      </c>
      <c r="B334" s="10">
        <f>IF(322&lt;=$B$7*12,F333,"")</f>
        <v/>
      </c>
      <c r="C334" s="10">
        <f>IF(322&lt;=$B$7*12,$B$8,"")</f>
        <v/>
      </c>
      <c r="D334" s="10">
        <f>IF(322&lt;=$B$7*12,B334*$B$6/12,"")</f>
        <v/>
      </c>
      <c r="E334" s="10">
        <f>IF(322&lt;=$B$7*12,C334-D334,"")</f>
        <v/>
      </c>
      <c r="F334" s="10">
        <f>IF(322&lt;=$B$7*12,MAX(0,B334-E334),"")</f>
        <v/>
      </c>
    </row>
    <row r="335">
      <c r="A335" s="4">
        <f>IF(323&lt;=$B$7*12,323,"")</f>
        <v/>
      </c>
      <c r="B335" s="10">
        <f>IF(323&lt;=$B$7*12,F334,"")</f>
        <v/>
      </c>
      <c r="C335" s="10">
        <f>IF(323&lt;=$B$7*12,$B$8,"")</f>
        <v/>
      </c>
      <c r="D335" s="10">
        <f>IF(323&lt;=$B$7*12,B335*$B$6/12,"")</f>
        <v/>
      </c>
      <c r="E335" s="10">
        <f>IF(323&lt;=$B$7*12,C335-D335,"")</f>
        <v/>
      </c>
      <c r="F335" s="10">
        <f>IF(323&lt;=$B$7*12,MAX(0,B335-E335),"")</f>
        <v/>
      </c>
    </row>
    <row r="336">
      <c r="A336" s="4">
        <f>IF(324&lt;=$B$7*12,324,"")</f>
        <v/>
      </c>
      <c r="B336" s="10">
        <f>IF(324&lt;=$B$7*12,F335,"")</f>
        <v/>
      </c>
      <c r="C336" s="10">
        <f>IF(324&lt;=$B$7*12,$B$8,"")</f>
        <v/>
      </c>
      <c r="D336" s="10">
        <f>IF(324&lt;=$B$7*12,B336*$B$6/12,"")</f>
        <v/>
      </c>
      <c r="E336" s="10">
        <f>IF(324&lt;=$B$7*12,C336-D336,"")</f>
        <v/>
      </c>
      <c r="F336" s="10">
        <f>IF(324&lt;=$B$7*12,MAX(0,B336-E336),"")</f>
        <v/>
      </c>
    </row>
    <row r="337">
      <c r="A337" s="4">
        <f>IF(325&lt;=$B$7*12,325,"")</f>
        <v/>
      </c>
      <c r="B337" s="10">
        <f>IF(325&lt;=$B$7*12,F336,"")</f>
        <v/>
      </c>
      <c r="C337" s="10">
        <f>IF(325&lt;=$B$7*12,$B$8,"")</f>
        <v/>
      </c>
      <c r="D337" s="10">
        <f>IF(325&lt;=$B$7*12,B337*$B$6/12,"")</f>
        <v/>
      </c>
      <c r="E337" s="10">
        <f>IF(325&lt;=$B$7*12,C337-D337,"")</f>
        <v/>
      </c>
      <c r="F337" s="10">
        <f>IF(325&lt;=$B$7*12,MAX(0,B337-E337),"")</f>
        <v/>
      </c>
    </row>
    <row r="338">
      <c r="A338" s="4">
        <f>IF(326&lt;=$B$7*12,326,"")</f>
        <v/>
      </c>
      <c r="B338" s="10">
        <f>IF(326&lt;=$B$7*12,F337,"")</f>
        <v/>
      </c>
      <c r="C338" s="10">
        <f>IF(326&lt;=$B$7*12,$B$8,"")</f>
        <v/>
      </c>
      <c r="D338" s="10">
        <f>IF(326&lt;=$B$7*12,B338*$B$6/12,"")</f>
        <v/>
      </c>
      <c r="E338" s="10">
        <f>IF(326&lt;=$B$7*12,C338-D338,"")</f>
        <v/>
      </c>
      <c r="F338" s="10">
        <f>IF(326&lt;=$B$7*12,MAX(0,B338-E338),"")</f>
        <v/>
      </c>
    </row>
    <row r="339">
      <c r="A339" s="4">
        <f>IF(327&lt;=$B$7*12,327,"")</f>
        <v/>
      </c>
      <c r="B339" s="10">
        <f>IF(327&lt;=$B$7*12,F338,"")</f>
        <v/>
      </c>
      <c r="C339" s="10">
        <f>IF(327&lt;=$B$7*12,$B$8,"")</f>
        <v/>
      </c>
      <c r="D339" s="10">
        <f>IF(327&lt;=$B$7*12,B339*$B$6/12,"")</f>
        <v/>
      </c>
      <c r="E339" s="10">
        <f>IF(327&lt;=$B$7*12,C339-D339,"")</f>
        <v/>
      </c>
      <c r="F339" s="10">
        <f>IF(327&lt;=$B$7*12,MAX(0,B339-E339),"")</f>
        <v/>
      </c>
    </row>
    <row r="340">
      <c r="A340" s="4">
        <f>IF(328&lt;=$B$7*12,328,"")</f>
        <v/>
      </c>
      <c r="B340" s="10">
        <f>IF(328&lt;=$B$7*12,F339,"")</f>
        <v/>
      </c>
      <c r="C340" s="10">
        <f>IF(328&lt;=$B$7*12,$B$8,"")</f>
        <v/>
      </c>
      <c r="D340" s="10">
        <f>IF(328&lt;=$B$7*12,B340*$B$6/12,"")</f>
        <v/>
      </c>
      <c r="E340" s="10">
        <f>IF(328&lt;=$B$7*12,C340-D340,"")</f>
        <v/>
      </c>
      <c r="F340" s="10">
        <f>IF(328&lt;=$B$7*12,MAX(0,B340-E340),"")</f>
        <v/>
      </c>
    </row>
    <row r="341">
      <c r="A341" s="4">
        <f>IF(329&lt;=$B$7*12,329,"")</f>
        <v/>
      </c>
      <c r="B341" s="10">
        <f>IF(329&lt;=$B$7*12,F340,"")</f>
        <v/>
      </c>
      <c r="C341" s="10">
        <f>IF(329&lt;=$B$7*12,$B$8,"")</f>
        <v/>
      </c>
      <c r="D341" s="10">
        <f>IF(329&lt;=$B$7*12,B341*$B$6/12,"")</f>
        <v/>
      </c>
      <c r="E341" s="10">
        <f>IF(329&lt;=$B$7*12,C341-D341,"")</f>
        <v/>
      </c>
      <c r="F341" s="10">
        <f>IF(329&lt;=$B$7*12,MAX(0,B341-E341),"")</f>
        <v/>
      </c>
    </row>
    <row r="342">
      <c r="A342" s="4">
        <f>IF(330&lt;=$B$7*12,330,"")</f>
        <v/>
      </c>
      <c r="B342" s="10">
        <f>IF(330&lt;=$B$7*12,F341,"")</f>
        <v/>
      </c>
      <c r="C342" s="10">
        <f>IF(330&lt;=$B$7*12,$B$8,"")</f>
        <v/>
      </c>
      <c r="D342" s="10">
        <f>IF(330&lt;=$B$7*12,B342*$B$6/12,"")</f>
        <v/>
      </c>
      <c r="E342" s="10">
        <f>IF(330&lt;=$B$7*12,C342-D342,"")</f>
        <v/>
      </c>
      <c r="F342" s="10">
        <f>IF(330&lt;=$B$7*12,MAX(0,B342-E342),"")</f>
        <v/>
      </c>
    </row>
    <row r="343">
      <c r="A343" s="4">
        <f>IF(331&lt;=$B$7*12,331,"")</f>
        <v/>
      </c>
      <c r="B343" s="10">
        <f>IF(331&lt;=$B$7*12,F342,"")</f>
        <v/>
      </c>
      <c r="C343" s="10">
        <f>IF(331&lt;=$B$7*12,$B$8,"")</f>
        <v/>
      </c>
      <c r="D343" s="10">
        <f>IF(331&lt;=$B$7*12,B343*$B$6/12,"")</f>
        <v/>
      </c>
      <c r="E343" s="10">
        <f>IF(331&lt;=$B$7*12,C343-D343,"")</f>
        <v/>
      </c>
      <c r="F343" s="10">
        <f>IF(331&lt;=$B$7*12,MAX(0,B343-E343),"")</f>
        <v/>
      </c>
    </row>
    <row r="344">
      <c r="A344" s="4">
        <f>IF(332&lt;=$B$7*12,332,"")</f>
        <v/>
      </c>
      <c r="B344" s="10">
        <f>IF(332&lt;=$B$7*12,F343,"")</f>
        <v/>
      </c>
      <c r="C344" s="10">
        <f>IF(332&lt;=$B$7*12,$B$8,"")</f>
        <v/>
      </c>
      <c r="D344" s="10">
        <f>IF(332&lt;=$B$7*12,B344*$B$6/12,"")</f>
        <v/>
      </c>
      <c r="E344" s="10">
        <f>IF(332&lt;=$B$7*12,C344-D344,"")</f>
        <v/>
      </c>
      <c r="F344" s="10">
        <f>IF(332&lt;=$B$7*12,MAX(0,B344-E344),"")</f>
        <v/>
      </c>
    </row>
    <row r="345">
      <c r="A345" s="4">
        <f>IF(333&lt;=$B$7*12,333,"")</f>
        <v/>
      </c>
      <c r="B345" s="10">
        <f>IF(333&lt;=$B$7*12,F344,"")</f>
        <v/>
      </c>
      <c r="C345" s="10">
        <f>IF(333&lt;=$B$7*12,$B$8,"")</f>
        <v/>
      </c>
      <c r="D345" s="10">
        <f>IF(333&lt;=$B$7*12,B345*$B$6/12,"")</f>
        <v/>
      </c>
      <c r="E345" s="10">
        <f>IF(333&lt;=$B$7*12,C345-D345,"")</f>
        <v/>
      </c>
      <c r="F345" s="10">
        <f>IF(333&lt;=$B$7*12,MAX(0,B345-E345),"")</f>
        <v/>
      </c>
    </row>
    <row r="346">
      <c r="A346" s="4">
        <f>IF(334&lt;=$B$7*12,334,"")</f>
        <v/>
      </c>
      <c r="B346" s="10">
        <f>IF(334&lt;=$B$7*12,F345,"")</f>
        <v/>
      </c>
      <c r="C346" s="10">
        <f>IF(334&lt;=$B$7*12,$B$8,"")</f>
        <v/>
      </c>
      <c r="D346" s="10">
        <f>IF(334&lt;=$B$7*12,B346*$B$6/12,"")</f>
        <v/>
      </c>
      <c r="E346" s="10">
        <f>IF(334&lt;=$B$7*12,C346-D346,"")</f>
        <v/>
      </c>
      <c r="F346" s="10">
        <f>IF(334&lt;=$B$7*12,MAX(0,B346-E346),"")</f>
        <v/>
      </c>
    </row>
    <row r="347">
      <c r="A347" s="4">
        <f>IF(335&lt;=$B$7*12,335,"")</f>
        <v/>
      </c>
      <c r="B347" s="10">
        <f>IF(335&lt;=$B$7*12,F346,"")</f>
        <v/>
      </c>
      <c r="C347" s="10">
        <f>IF(335&lt;=$B$7*12,$B$8,"")</f>
        <v/>
      </c>
      <c r="D347" s="10">
        <f>IF(335&lt;=$B$7*12,B347*$B$6/12,"")</f>
        <v/>
      </c>
      <c r="E347" s="10">
        <f>IF(335&lt;=$B$7*12,C347-D347,"")</f>
        <v/>
      </c>
      <c r="F347" s="10">
        <f>IF(335&lt;=$B$7*12,MAX(0,B347-E347),"")</f>
        <v/>
      </c>
    </row>
    <row r="348">
      <c r="A348" s="4">
        <f>IF(336&lt;=$B$7*12,336,"")</f>
        <v/>
      </c>
      <c r="B348" s="10">
        <f>IF(336&lt;=$B$7*12,F347,"")</f>
        <v/>
      </c>
      <c r="C348" s="10">
        <f>IF(336&lt;=$B$7*12,$B$8,"")</f>
        <v/>
      </c>
      <c r="D348" s="10">
        <f>IF(336&lt;=$B$7*12,B348*$B$6/12,"")</f>
        <v/>
      </c>
      <c r="E348" s="10">
        <f>IF(336&lt;=$B$7*12,C348-D348,"")</f>
        <v/>
      </c>
      <c r="F348" s="10">
        <f>IF(336&lt;=$B$7*12,MAX(0,B348-E348),"")</f>
        <v/>
      </c>
    </row>
    <row r="349">
      <c r="A349" s="4">
        <f>IF(337&lt;=$B$7*12,337,"")</f>
        <v/>
      </c>
      <c r="B349" s="10">
        <f>IF(337&lt;=$B$7*12,F348,"")</f>
        <v/>
      </c>
      <c r="C349" s="10">
        <f>IF(337&lt;=$B$7*12,$B$8,"")</f>
        <v/>
      </c>
      <c r="D349" s="10">
        <f>IF(337&lt;=$B$7*12,B349*$B$6/12,"")</f>
        <v/>
      </c>
      <c r="E349" s="10">
        <f>IF(337&lt;=$B$7*12,C349-D349,"")</f>
        <v/>
      </c>
      <c r="F349" s="10">
        <f>IF(337&lt;=$B$7*12,MAX(0,B349-E349),"")</f>
        <v/>
      </c>
    </row>
    <row r="350">
      <c r="A350" s="4">
        <f>IF(338&lt;=$B$7*12,338,"")</f>
        <v/>
      </c>
      <c r="B350" s="10">
        <f>IF(338&lt;=$B$7*12,F349,"")</f>
        <v/>
      </c>
      <c r="C350" s="10">
        <f>IF(338&lt;=$B$7*12,$B$8,"")</f>
        <v/>
      </c>
      <c r="D350" s="10">
        <f>IF(338&lt;=$B$7*12,B350*$B$6/12,"")</f>
        <v/>
      </c>
      <c r="E350" s="10">
        <f>IF(338&lt;=$B$7*12,C350-D350,"")</f>
        <v/>
      </c>
      <c r="F350" s="10">
        <f>IF(338&lt;=$B$7*12,MAX(0,B350-E350),"")</f>
        <v/>
      </c>
    </row>
    <row r="351">
      <c r="A351" s="4">
        <f>IF(339&lt;=$B$7*12,339,"")</f>
        <v/>
      </c>
      <c r="B351" s="10">
        <f>IF(339&lt;=$B$7*12,F350,"")</f>
        <v/>
      </c>
      <c r="C351" s="10">
        <f>IF(339&lt;=$B$7*12,$B$8,"")</f>
        <v/>
      </c>
      <c r="D351" s="10">
        <f>IF(339&lt;=$B$7*12,B351*$B$6/12,"")</f>
        <v/>
      </c>
      <c r="E351" s="10">
        <f>IF(339&lt;=$B$7*12,C351-D351,"")</f>
        <v/>
      </c>
      <c r="F351" s="10">
        <f>IF(339&lt;=$B$7*12,MAX(0,B351-E351),"")</f>
        <v/>
      </c>
    </row>
    <row r="352">
      <c r="A352" s="4">
        <f>IF(340&lt;=$B$7*12,340,"")</f>
        <v/>
      </c>
      <c r="B352" s="10">
        <f>IF(340&lt;=$B$7*12,F351,"")</f>
        <v/>
      </c>
      <c r="C352" s="10">
        <f>IF(340&lt;=$B$7*12,$B$8,"")</f>
        <v/>
      </c>
      <c r="D352" s="10">
        <f>IF(340&lt;=$B$7*12,B352*$B$6/12,"")</f>
        <v/>
      </c>
      <c r="E352" s="10">
        <f>IF(340&lt;=$B$7*12,C352-D352,"")</f>
        <v/>
      </c>
      <c r="F352" s="10">
        <f>IF(340&lt;=$B$7*12,MAX(0,B352-E352),"")</f>
        <v/>
      </c>
    </row>
    <row r="353">
      <c r="A353" s="4">
        <f>IF(341&lt;=$B$7*12,341,"")</f>
        <v/>
      </c>
      <c r="B353" s="10">
        <f>IF(341&lt;=$B$7*12,F352,"")</f>
        <v/>
      </c>
      <c r="C353" s="10">
        <f>IF(341&lt;=$B$7*12,$B$8,"")</f>
        <v/>
      </c>
      <c r="D353" s="10">
        <f>IF(341&lt;=$B$7*12,B353*$B$6/12,"")</f>
        <v/>
      </c>
      <c r="E353" s="10">
        <f>IF(341&lt;=$B$7*12,C353-D353,"")</f>
        <v/>
      </c>
      <c r="F353" s="10">
        <f>IF(341&lt;=$B$7*12,MAX(0,B353-E353),"")</f>
        <v/>
      </c>
    </row>
    <row r="354">
      <c r="A354" s="4">
        <f>IF(342&lt;=$B$7*12,342,"")</f>
        <v/>
      </c>
      <c r="B354" s="10">
        <f>IF(342&lt;=$B$7*12,F353,"")</f>
        <v/>
      </c>
      <c r="C354" s="10">
        <f>IF(342&lt;=$B$7*12,$B$8,"")</f>
        <v/>
      </c>
      <c r="D354" s="10">
        <f>IF(342&lt;=$B$7*12,B354*$B$6/12,"")</f>
        <v/>
      </c>
      <c r="E354" s="10">
        <f>IF(342&lt;=$B$7*12,C354-D354,"")</f>
        <v/>
      </c>
      <c r="F354" s="10">
        <f>IF(342&lt;=$B$7*12,MAX(0,B354-E354),"")</f>
        <v/>
      </c>
    </row>
    <row r="355">
      <c r="A355" s="4">
        <f>IF(343&lt;=$B$7*12,343,"")</f>
        <v/>
      </c>
      <c r="B355" s="10">
        <f>IF(343&lt;=$B$7*12,F354,"")</f>
        <v/>
      </c>
      <c r="C355" s="10">
        <f>IF(343&lt;=$B$7*12,$B$8,"")</f>
        <v/>
      </c>
      <c r="D355" s="10">
        <f>IF(343&lt;=$B$7*12,B355*$B$6/12,"")</f>
        <v/>
      </c>
      <c r="E355" s="10">
        <f>IF(343&lt;=$B$7*12,C355-D355,"")</f>
        <v/>
      </c>
      <c r="F355" s="10">
        <f>IF(343&lt;=$B$7*12,MAX(0,B355-E355),"")</f>
        <v/>
      </c>
    </row>
    <row r="356">
      <c r="A356" s="4">
        <f>IF(344&lt;=$B$7*12,344,"")</f>
        <v/>
      </c>
      <c r="B356" s="10">
        <f>IF(344&lt;=$B$7*12,F355,"")</f>
        <v/>
      </c>
      <c r="C356" s="10">
        <f>IF(344&lt;=$B$7*12,$B$8,"")</f>
        <v/>
      </c>
      <c r="D356" s="10">
        <f>IF(344&lt;=$B$7*12,B356*$B$6/12,"")</f>
        <v/>
      </c>
      <c r="E356" s="10">
        <f>IF(344&lt;=$B$7*12,C356-D356,"")</f>
        <v/>
      </c>
      <c r="F356" s="10">
        <f>IF(344&lt;=$B$7*12,MAX(0,B356-E356),"")</f>
        <v/>
      </c>
    </row>
    <row r="357">
      <c r="A357" s="4">
        <f>IF(345&lt;=$B$7*12,345,"")</f>
        <v/>
      </c>
      <c r="B357" s="10">
        <f>IF(345&lt;=$B$7*12,F356,"")</f>
        <v/>
      </c>
      <c r="C357" s="10">
        <f>IF(345&lt;=$B$7*12,$B$8,"")</f>
        <v/>
      </c>
      <c r="D357" s="10">
        <f>IF(345&lt;=$B$7*12,B357*$B$6/12,"")</f>
        <v/>
      </c>
      <c r="E357" s="10">
        <f>IF(345&lt;=$B$7*12,C357-D357,"")</f>
        <v/>
      </c>
      <c r="F357" s="10">
        <f>IF(345&lt;=$B$7*12,MAX(0,B357-E357),"")</f>
        <v/>
      </c>
    </row>
    <row r="358">
      <c r="A358" s="4">
        <f>IF(346&lt;=$B$7*12,346,"")</f>
        <v/>
      </c>
      <c r="B358" s="10">
        <f>IF(346&lt;=$B$7*12,F357,"")</f>
        <v/>
      </c>
      <c r="C358" s="10">
        <f>IF(346&lt;=$B$7*12,$B$8,"")</f>
        <v/>
      </c>
      <c r="D358" s="10">
        <f>IF(346&lt;=$B$7*12,B358*$B$6/12,"")</f>
        <v/>
      </c>
      <c r="E358" s="10">
        <f>IF(346&lt;=$B$7*12,C358-D358,"")</f>
        <v/>
      </c>
      <c r="F358" s="10">
        <f>IF(346&lt;=$B$7*12,MAX(0,B358-E358),"")</f>
        <v/>
      </c>
    </row>
    <row r="359">
      <c r="A359" s="4">
        <f>IF(347&lt;=$B$7*12,347,"")</f>
        <v/>
      </c>
      <c r="B359" s="10">
        <f>IF(347&lt;=$B$7*12,F358,"")</f>
        <v/>
      </c>
      <c r="C359" s="10">
        <f>IF(347&lt;=$B$7*12,$B$8,"")</f>
        <v/>
      </c>
      <c r="D359" s="10">
        <f>IF(347&lt;=$B$7*12,B359*$B$6/12,"")</f>
        <v/>
      </c>
      <c r="E359" s="10">
        <f>IF(347&lt;=$B$7*12,C359-D359,"")</f>
        <v/>
      </c>
      <c r="F359" s="10">
        <f>IF(347&lt;=$B$7*12,MAX(0,B359-E359),"")</f>
        <v/>
      </c>
    </row>
    <row r="360">
      <c r="A360" s="4">
        <f>IF(348&lt;=$B$7*12,348,"")</f>
        <v/>
      </c>
      <c r="B360" s="10">
        <f>IF(348&lt;=$B$7*12,F359,"")</f>
        <v/>
      </c>
      <c r="C360" s="10">
        <f>IF(348&lt;=$B$7*12,$B$8,"")</f>
        <v/>
      </c>
      <c r="D360" s="10">
        <f>IF(348&lt;=$B$7*12,B360*$B$6/12,"")</f>
        <v/>
      </c>
      <c r="E360" s="10">
        <f>IF(348&lt;=$B$7*12,C360-D360,"")</f>
        <v/>
      </c>
      <c r="F360" s="10">
        <f>IF(348&lt;=$B$7*12,MAX(0,B360-E360),"")</f>
        <v/>
      </c>
    </row>
    <row r="361">
      <c r="A361" s="4">
        <f>IF(349&lt;=$B$7*12,349,"")</f>
        <v/>
      </c>
      <c r="B361" s="10">
        <f>IF(349&lt;=$B$7*12,F360,"")</f>
        <v/>
      </c>
      <c r="C361" s="10">
        <f>IF(349&lt;=$B$7*12,$B$8,"")</f>
        <v/>
      </c>
      <c r="D361" s="10">
        <f>IF(349&lt;=$B$7*12,B361*$B$6/12,"")</f>
        <v/>
      </c>
      <c r="E361" s="10">
        <f>IF(349&lt;=$B$7*12,C361-D361,"")</f>
        <v/>
      </c>
      <c r="F361" s="10">
        <f>IF(349&lt;=$B$7*12,MAX(0,B361-E361),"")</f>
        <v/>
      </c>
    </row>
    <row r="362">
      <c r="A362" s="4">
        <f>IF(350&lt;=$B$7*12,350,"")</f>
        <v/>
      </c>
      <c r="B362" s="10">
        <f>IF(350&lt;=$B$7*12,F361,"")</f>
        <v/>
      </c>
      <c r="C362" s="10">
        <f>IF(350&lt;=$B$7*12,$B$8,"")</f>
        <v/>
      </c>
      <c r="D362" s="10">
        <f>IF(350&lt;=$B$7*12,B362*$B$6/12,"")</f>
        <v/>
      </c>
      <c r="E362" s="10">
        <f>IF(350&lt;=$B$7*12,C362-D362,"")</f>
        <v/>
      </c>
      <c r="F362" s="10">
        <f>IF(350&lt;=$B$7*12,MAX(0,B362-E362),"")</f>
        <v/>
      </c>
    </row>
    <row r="363">
      <c r="A363" s="4">
        <f>IF(351&lt;=$B$7*12,351,"")</f>
        <v/>
      </c>
      <c r="B363" s="10">
        <f>IF(351&lt;=$B$7*12,F362,"")</f>
        <v/>
      </c>
      <c r="C363" s="10">
        <f>IF(351&lt;=$B$7*12,$B$8,"")</f>
        <v/>
      </c>
      <c r="D363" s="10">
        <f>IF(351&lt;=$B$7*12,B363*$B$6/12,"")</f>
        <v/>
      </c>
      <c r="E363" s="10">
        <f>IF(351&lt;=$B$7*12,C363-D363,"")</f>
        <v/>
      </c>
      <c r="F363" s="10">
        <f>IF(351&lt;=$B$7*12,MAX(0,B363-E363),"")</f>
        <v/>
      </c>
    </row>
    <row r="364">
      <c r="A364" s="4">
        <f>IF(352&lt;=$B$7*12,352,"")</f>
        <v/>
      </c>
      <c r="B364" s="10">
        <f>IF(352&lt;=$B$7*12,F363,"")</f>
        <v/>
      </c>
      <c r="C364" s="10">
        <f>IF(352&lt;=$B$7*12,$B$8,"")</f>
        <v/>
      </c>
      <c r="D364" s="10">
        <f>IF(352&lt;=$B$7*12,B364*$B$6/12,"")</f>
        <v/>
      </c>
      <c r="E364" s="10">
        <f>IF(352&lt;=$B$7*12,C364-D364,"")</f>
        <v/>
      </c>
      <c r="F364" s="10">
        <f>IF(352&lt;=$B$7*12,MAX(0,B364-E364),"")</f>
        <v/>
      </c>
    </row>
    <row r="365">
      <c r="A365" s="4">
        <f>IF(353&lt;=$B$7*12,353,"")</f>
        <v/>
      </c>
      <c r="B365" s="10">
        <f>IF(353&lt;=$B$7*12,F364,"")</f>
        <v/>
      </c>
      <c r="C365" s="10">
        <f>IF(353&lt;=$B$7*12,$B$8,"")</f>
        <v/>
      </c>
      <c r="D365" s="10">
        <f>IF(353&lt;=$B$7*12,B365*$B$6/12,"")</f>
        <v/>
      </c>
      <c r="E365" s="10">
        <f>IF(353&lt;=$B$7*12,C365-D365,"")</f>
        <v/>
      </c>
      <c r="F365" s="10">
        <f>IF(353&lt;=$B$7*12,MAX(0,B365-E365),"")</f>
        <v/>
      </c>
    </row>
    <row r="366">
      <c r="A366" s="4">
        <f>IF(354&lt;=$B$7*12,354,"")</f>
        <v/>
      </c>
      <c r="B366" s="10">
        <f>IF(354&lt;=$B$7*12,F365,"")</f>
        <v/>
      </c>
      <c r="C366" s="10">
        <f>IF(354&lt;=$B$7*12,$B$8,"")</f>
        <v/>
      </c>
      <c r="D366" s="10">
        <f>IF(354&lt;=$B$7*12,B366*$B$6/12,"")</f>
        <v/>
      </c>
      <c r="E366" s="10">
        <f>IF(354&lt;=$B$7*12,C366-D366,"")</f>
        <v/>
      </c>
      <c r="F366" s="10">
        <f>IF(354&lt;=$B$7*12,MAX(0,B366-E366),"")</f>
        <v/>
      </c>
    </row>
    <row r="367">
      <c r="A367" s="4">
        <f>IF(355&lt;=$B$7*12,355,"")</f>
        <v/>
      </c>
      <c r="B367" s="10">
        <f>IF(355&lt;=$B$7*12,F366,"")</f>
        <v/>
      </c>
      <c r="C367" s="10">
        <f>IF(355&lt;=$B$7*12,$B$8,"")</f>
        <v/>
      </c>
      <c r="D367" s="10">
        <f>IF(355&lt;=$B$7*12,B367*$B$6/12,"")</f>
        <v/>
      </c>
      <c r="E367" s="10">
        <f>IF(355&lt;=$B$7*12,C367-D367,"")</f>
        <v/>
      </c>
      <c r="F367" s="10">
        <f>IF(355&lt;=$B$7*12,MAX(0,B367-E367),"")</f>
        <v/>
      </c>
    </row>
    <row r="368">
      <c r="A368" s="4">
        <f>IF(356&lt;=$B$7*12,356,"")</f>
        <v/>
      </c>
      <c r="B368" s="10">
        <f>IF(356&lt;=$B$7*12,F367,"")</f>
        <v/>
      </c>
      <c r="C368" s="10">
        <f>IF(356&lt;=$B$7*12,$B$8,"")</f>
        <v/>
      </c>
      <c r="D368" s="10">
        <f>IF(356&lt;=$B$7*12,B368*$B$6/12,"")</f>
        <v/>
      </c>
      <c r="E368" s="10">
        <f>IF(356&lt;=$B$7*12,C368-D368,"")</f>
        <v/>
      </c>
      <c r="F368" s="10">
        <f>IF(356&lt;=$B$7*12,MAX(0,B368-E368),"")</f>
        <v/>
      </c>
    </row>
    <row r="369">
      <c r="A369" s="4">
        <f>IF(357&lt;=$B$7*12,357,"")</f>
        <v/>
      </c>
      <c r="B369" s="10">
        <f>IF(357&lt;=$B$7*12,F368,"")</f>
        <v/>
      </c>
      <c r="C369" s="10">
        <f>IF(357&lt;=$B$7*12,$B$8,"")</f>
        <v/>
      </c>
      <c r="D369" s="10">
        <f>IF(357&lt;=$B$7*12,B369*$B$6/12,"")</f>
        <v/>
      </c>
      <c r="E369" s="10">
        <f>IF(357&lt;=$B$7*12,C369-D369,"")</f>
        <v/>
      </c>
      <c r="F369" s="10">
        <f>IF(357&lt;=$B$7*12,MAX(0,B369-E369),"")</f>
        <v/>
      </c>
    </row>
    <row r="370">
      <c r="A370" s="4">
        <f>IF(358&lt;=$B$7*12,358,"")</f>
        <v/>
      </c>
      <c r="B370" s="10">
        <f>IF(358&lt;=$B$7*12,F369,"")</f>
        <v/>
      </c>
      <c r="C370" s="10">
        <f>IF(358&lt;=$B$7*12,$B$8,"")</f>
        <v/>
      </c>
      <c r="D370" s="10">
        <f>IF(358&lt;=$B$7*12,B370*$B$6/12,"")</f>
        <v/>
      </c>
      <c r="E370" s="10">
        <f>IF(358&lt;=$B$7*12,C370-D370,"")</f>
        <v/>
      </c>
      <c r="F370" s="10">
        <f>IF(358&lt;=$B$7*12,MAX(0,B370-E370),"")</f>
        <v/>
      </c>
    </row>
    <row r="371">
      <c r="A371" s="4">
        <f>IF(359&lt;=$B$7*12,359,"")</f>
        <v/>
      </c>
      <c r="B371" s="10">
        <f>IF(359&lt;=$B$7*12,F370,"")</f>
        <v/>
      </c>
      <c r="C371" s="10">
        <f>IF(359&lt;=$B$7*12,$B$8,"")</f>
        <v/>
      </c>
      <c r="D371" s="10">
        <f>IF(359&lt;=$B$7*12,B371*$B$6/12,"")</f>
        <v/>
      </c>
      <c r="E371" s="10">
        <f>IF(359&lt;=$B$7*12,C371-D371,"")</f>
        <v/>
      </c>
      <c r="F371" s="10">
        <f>IF(359&lt;=$B$7*12,MAX(0,B371-E371),"")</f>
        <v/>
      </c>
    </row>
    <row r="372">
      <c r="A372" s="4">
        <f>IF(360&lt;=$B$7*12,360,"")</f>
        <v/>
      </c>
      <c r="B372" s="10">
        <f>IF(360&lt;=$B$7*12,F371,"")</f>
        <v/>
      </c>
      <c r="C372" s="10">
        <f>IF(360&lt;=$B$7*12,$B$8,"")</f>
        <v/>
      </c>
      <c r="D372" s="10">
        <f>IF(360&lt;=$B$7*12,B372*$B$6/12,"")</f>
        <v/>
      </c>
      <c r="E372" s="10">
        <f>IF(360&lt;=$B$7*12,C372-D372,"")</f>
        <v/>
      </c>
      <c r="F372" s="10">
        <f>IF(360&lt;=$B$7*12,MAX(0,B372-E372),"")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